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25" windowHeight="5430" tabRatio="707" firstSheet="4" activeTab="6"/>
  </bookViews>
  <sheets>
    <sheet name="Instructions" sheetId="1" r:id="rId1"/>
    <sheet name="B Balance sheet" sheetId="2" r:id="rId2"/>
    <sheet name="Loan Data" sheetId="3" r:id="rId3"/>
    <sheet name="Pmt Schedule" sheetId="4" r:id="rId4"/>
    <sheet name="1st year Income stmt" sheetId="5" r:id="rId5"/>
    <sheet name="1st year Cash Flow" sheetId="6" r:id="rId6"/>
    <sheet name="Breakeven Analysis" sheetId="7" r:id="rId7"/>
    <sheet name="1st Year BS" sheetId="8" r:id="rId8"/>
    <sheet name="2nd Year IS" sheetId="9" r:id="rId9"/>
    <sheet name="2nd Year CF" sheetId="10" r:id="rId10"/>
    <sheet name="2nd Year BS" sheetId="11" r:id="rId11"/>
    <sheet name="3rd Year IS" sheetId="12" r:id="rId12"/>
    <sheet name="3rd Year CF" sheetId="13" r:id="rId13"/>
    <sheet name="3rd Year BS" sheetId="14" r:id="rId14"/>
    <sheet name="4th Year IS" sheetId="15" r:id="rId15"/>
    <sheet name="4th Year CF" sheetId="16" r:id="rId16"/>
    <sheet name="4th Year BS" sheetId="17" r:id="rId17"/>
    <sheet name="5th Year IS" sheetId="18" r:id="rId18"/>
    <sheet name="5th Year CF" sheetId="19" r:id="rId19"/>
    <sheet name="5th Year BS" sheetId="20" r:id="rId20"/>
    <sheet name="CF consol" sheetId="21" r:id="rId21"/>
    <sheet name="IS consol" sheetId="22" r:id="rId22"/>
    <sheet name="BS consol" sheetId="23" r:id="rId23"/>
    <sheet name="RMA Analysis" sheetId="24" r:id="rId24"/>
    <sheet name="Assumptions" sheetId="25" r:id="rId25"/>
    <sheet name="Ratios" sheetId="26" r:id="rId26"/>
  </sheets>
  <definedNames>
    <definedName name="Calc_Pmt" localSheetId="2">'Loan Data'!$B$11</definedName>
    <definedName name="Calc_Pmt">'Loan Data'!$B$11</definedName>
    <definedName name="Entered_Pmt" localSheetId="2">'Loan Data'!$D$5</definedName>
    <definedName name="Entered_Pmt">'Pmt Schedule'!$D$5</definedName>
    <definedName name="Fixed_expenses">'1st year Income stmt'!$N$18:$N$24,'1st year Income stmt'!$N$22</definedName>
    <definedName name="Int_Rate" localSheetId="2">'Loan Data'!$B$7</definedName>
    <definedName name="Int_Rate">'Loan Data'!$B$7</definedName>
    <definedName name="Loan_Amount" localSheetId="2">'Loan Data'!$B$5</definedName>
    <definedName name="Loan_Amount">'Loan Data'!$B$5</definedName>
    <definedName name="Mark">"Apple of my eye"</definedName>
    <definedName name="Num_Pmts" localSheetId="2">'Loan Data'!$B$9</definedName>
    <definedName name="Num_Pmts">'Loan Data'!$B$9</definedName>
    <definedName name="Num_Years" localSheetId="2">'Loan Data'!$B$8</definedName>
    <definedName name="Num_Years">'Loan Data'!$B$8</definedName>
    <definedName name="_xlnm.Print_Area" localSheetId="7">'1st Year BS'!$A$1:$J$27</definedName>
    <definedName name="_xlnm.Print_Area" localSheetId="5">'1st year Cash Flow'!$A$1:$N$39</definedName>
    <definedName name="_xlnm.Print_Area" localSheetId="4">'1st year Income stmt'!$A$1:$Q$47</definedName>
    <definedName name="_xlnm.Print_Area" localSheetId="10">'2nd Year BS'!$A$1:$I$27</definedName>
    <definedName name="_xlnm.Print_Area" localSheetId="9">'2nd Year CF'!$A$1:$F$40</definedName>
    <definedName name="_xlnm.Print_Area" localSheetId="8">'2nd Year IS'!$A$1:$F$41</definedName>
    <definedName name="_xlnm.Print_Area" localSheetId="12">'3rd Year CF'!$A$1:$F$42</definedName>
    <definedName name="_xlnm.Print_Area" localSheetId="11">'3rd Year IS'!$A$1:$F$40</definedName>
    <definedName name="_xlnm.Print_Area" localSheetId="14">'4th Year IS'!$A$1:$E$42</definedName>
    <definedName name="_xlnm.Print_Area" localSheetId="19">'5th Year BS'!$A$1:$I$27</definedName>
    <definedName name="_xlnm.Print_Area" localSheetId="18">'5th Year CF'!$A$1:$G$47</definedName>
    <definedName name="_xlnm.Print_Area" localSheetId="17">'5th Year IS'!$A$1:$G$50</definedName>
    <definedName name="_xlnm.Print_Area" localSheetId="1">'B Balance sheet'!$A$1:$I$26</definedName>
    <definedName name="_xlnm.Print_Area" localSheetId="20">'CF consol'!$A$1:$R$37</definedName>
    <definedName name="_xlnm.Print_Area" localSheetId="21">'IS consol'!$A$1:$R$32</definedName>
    <definedName name="_xlnm.Print_Area" localSheetId="25">'Ratios'!$A$1:$G$28</definedName>
    <definedName name="Start_Date" localSheetId="2">'Loan Data'!$B$6</definedName>
    <definedName name="Start_Date">'Loan Data'!$B$6</definedName>
    <definedName name="Table_Start" localSheetId="2">'Loan Data'!$D$6</definedName>
    <definedName name="Table_Start">'Pmt Schedule'!$D$6</definedName>
    <definedName name="variable_expenses">SUM('1st year Income stmt'!$N$13:$N$17+'1st year Income stmt'!$N$7,'1st year Income stmt'!$N$9,'1st year Income stmt'!$N$22,'1st year Income stmt'!$N$25)</definedName>
    <definedName name="VerifyNum" localSheetId="2">AND(ISNUMBER('Loan Data'!Int_Rate),ISNUMBER('Loan Data'!Loan_Amount),ISNUMBER('Loan Data'!Num_Pmts),ISNUMBER('Loan Data'!Num_Years))</definedName>
    <definedName name="VerifyNum">AND(ISNUMBER(Int_Rate),ISNUMBER(Loan_Amount),ISNUMBER(Num_Pmts),ISNUMBER(Num_Years))</definedName>
  </definedNames>
  <calcPr fullCalcOnLoad="1"/>
</workbook>
</file>

<file path=xl/comments24.xml><?xml version="1.0" encoding="utf-8"?>
<comments xmlns="http://schemas.openxmlformats.org/spreadsheetml/2006/main">
  <authors>
    <author>Mark Engle</author>
  </authors>
  <commentList>
    <comment ref="G9" authorId="0">
      <text>
        <r>
          <rPr>
            <b/>
            <sz val="8"/>
            <rFont val="Tahoma"/>
            <family val="0"/>
          </rPr>
          <t>Mark Engle:</t>
        </r>
        <r>
          <rPr>
            <sz val="8"/>
            <rFont val="Tahoma"/>
            <family val="0"/>
          </rPr>
          <t xml:space="preserve">
N/A
</t>
        </r>
      </text>
    </comment>
  </commentList>
</comments>
</file>

<file path=xl/sharedStrings.xml><?xml version="1.0" encoding="utf-8"?>
<sst xmlns="http://schemas.openxmlformats.org/spreadsheetml/2006/main" count="637" uniqueCount="359">
  <si>
    <t>Balance Sheet</t>
  </si>
  <si>
    <t>ASSETS</t>
  </si>
  <si>
    <t>LIABILITIES</t>
  </si>
  <si>
    <t>Current Assets</t>
  </si>
  <si>
    <t>Current Liabilities</t>
  </si>
  <si>
    <t>Cash</t>
  </si>
  <si>
    <t>Inventory</t>
  </si>
  <si>
    <t>Trade Payable</t>
  </si>
  <si>
    <t>Account Receivable</t>
  </si>
  <si>
    <t>Accrued Salary</t>
  </si>
  <si>
    <t>Office Supplies</t>
  </si>
  <si>
    <t>Taxes Payable</t>
  </si>
  <si>
    <t>Prepaid Expenses / Deposits</t>
  </si>
  <si>
    <t>Other</t>
  </si>
  <si>
    <t xml:space="preserve">     Total Current Assets</t>
  </si>
  <si>
    <t xml:space="preserve">   Total Current Liabilities</t>
  </si>
  <si>
    <t>Long Term Assets</t>
  </si>
  <si>
    <t>Long Term Liabilities</t>
  </si>
  <si>
    <t>Equipment</t>
  </si>
  <si>
    <t xml:space="preserve">   Total Long Term Liabilities</t>
  </si>
  <si>
    <t>Total Liabilities</t>
  </si>
  <si>
    <t xml:space="preserve">    Total Long Term Assets</t>
  </si>
  <si>
    <t xml:space="preserve">  Total Owners Equity</t>
  </si>
  <si>
    <t>Total Assets</t>
  </si>
  <si>
    <t>Total Liabilities and Owners Equity</t>
  </si>
  <si>
    <t>TOTAL</t>
  </si>
  <si>
    <t>Gross Sales</t>
  </si>
  <si>
    <t xml:space="preserve"> Less return &amp; allowances</t>
  </si>
  <si>
    <t xml:space="preserve">      Net Sales</t>
  </si>
  <si>
    <t xml:space="preserve">  Cost of Goods</t>
  </si>
  <si>
    <t>GROSS PROFIT</t>
  </si>
  <si>
    <t>G &amp; A Expenses</t>
  </si>
  <si>
    <t>Payroll taxes</t>
  </si>
  <si>
    <t>Cost of Good percentage</t>
  </si>
  <si>
    <t>Marketing percentage</t>
  </si>
  <si>
    <t>Payroll Tax percentage</t>
  </si>
  <si>
    <t>FICA</t>
  </si>
  <si>
    <t>SUTA</t>
  </si>
  <si>
    <t>State Compensation</t>
  </si>
  <si>
    <t>Total Tax percentage</t>
  </si>
  <si>
    <t>Return &amp; Allowance %</t>
  </si>
  <si>
    <t>Cash Receipts</t>
  </si>
  <si>
    <t xml:space="preserve">  Cash Sales</t>
  </si>
  <si>
    <t xml:space="preserve">  A/R Collections</t>
  </si>
  <si>
    <t>Total Cash from Sales</t>
  </si>
  <si>
    <t>Income from Financing</t>
  </si>
  <si>
    <t xml:space="preserve">  Interest Income</t>
  </si>
  <si>
    <t xml:space="preserve">  Loan Proceeds</t>
  </si>
  <si>
    <t xml:space="preserve">  Other Cash Receipts</t>
  </si>
  <si>
    <t>Total Cash Receipts</t>
  </si>
  <si>
    <t>Cash Disbursements</t>
  </si>
  <si>
    <t>Expenses</t>
  </si>
  <si>
    <t>Operating expenses</t>
  </si>
  <si>
    <t>Salary expenses</t>
  </si>
  <si>
    <t>Owners Draw</t>
  </si>
  <si>
    <t>Total cash disbursements</t>
  </si>
  <si>
    <t>Net Cash Flow</t>
  </si>
  <si>
    <t>Opening Cash Balance</t>
  </si>
  <si>
    <t>ENDING CASH BALANCE</t>
  </si>
  <si>
    <t xml:space="preserve"> Total Net Fixed Assets</t>
  </si>
  <si>
    <t>Current</t>
  </si>
  <si>
    <t>Income Statement</t>
  </si>
  <si>
    <t>1st quarter</t>
  </si>
  <si>
    <t>2nd quarter</t>
  </si>
  <si>
    <t>3rd quarter</t>
  </si>
  <si>
    <t>4th quarter</t>
  </si>
  <si>
    <t>Business Quarter</t>
  </si>
  <si>
    <t>Other Capital Expenses</t>
  </si>
  <si>
    <t>Total Payroll Tax percentage</t>
  </si>
  <si>
    <t>FUTA</t>
  </si>
  <si>
    <t>Salary Expense</t>
  </si>
  <si>
    <t>Period</t>
  </si>
  <si>
    <t>Total</t>
  </si>
  <si>
    <t>Sales change</t>
  </si>
  <si>
    <t>General expense change</t>
  </si>
  <si>
    <t>A/R percentage</t>
  </si>
  <si>
    <t xml:space="preserve">  Sales</t>
  </si>
  <si>
    <t xml:space="preserve">  A/R Sales</t>
  </si>
  <si>
    <t>Cash Outflows</t>
  </si>
  <si>
    <t xml:space="preserve">Total Cash Sales </t>
  </si>
  <si>
    <t>Financing Income</t>
  </si>
  <si>
    <t>Quarter</t>
  </si>
  <si>
    <t>quarter</t>
  </si>
  <si>
    <t>OWNERS EQUITY</t>
  </si>
  <si>
    <t>Interest</t>
  </si>
  <si>
    <t>Loan Inforamtion</t>
  </si>
  <si>
    <t>Payment</t>
  </si>
  <si>
    <t>Long Term</t>
  </si>
  <si>
    <t>Q1</t>
  </si>
  <si>
    <t>Q2</t>
  </si>
  <si>
    <t>Q3</t>
  </si>
  <si>
    <t>Q4</t>
  </si>
  <si>
    <t>Year</t>
  </si>
  <si>
    <t xml:space="preserve"> </t>
  </si>
  <si>
    <t xml:space="preserve"> Capital</t>
  </si>
  <si>
    <t>Cash Flow Statement</t>
  </si>
  <si>
    <t>Rent</t>
  </si>
  <si>
    <t>Other Fixed Assets</t>
  </si>
  <si>
    <t>Depreciable years for Fixed Assets</t>
  </si>
  <si>
    <t>Principal Loan Payments</t>
  </si>
  <si>
    <t>Interest Loan Payments</t>
  </si>
  <si>
    <t>Enter Factors Below:</t>
  </si>
  <si>
    <t>Capital</t>
  </si>
  <si>
    <t>Enter Assumption Below</t>
  </si>
  <si>
    <t>Enter Assumptions Below</t>
  </si>
  <si>
    <t>Enter Assumption Here:</t>
  </si>
  <si>
    <t>Enter Assumptions Here:</t>
  </si>
  <si>
    <t>Loan payments, principal</t>
  </si>
  <si>
    <t>Loan payments, interest</t>
  </si>
  <si>
    <t>Enter Assumptions Below:</t>
  </si>
  <si>
    <t>Enter Assumption Here</t>
  </si>
  <si>
    <t>Loan payment, principal</t>
  </si>
  <si>
    <t>Loan payment, interest</t>
  </si>
  <si>
    <t xml:space="preserve">         Capital</t>
  </si>
  <si>
    <t>Enter Assumptions Here</t>
  </si>
  <si>
    <t>Excess Cash</t>
  </si>
  <si>
    <t>CPLTD</t>
  </si>
  <si>
    <t>Term Debt LTP</t>
  </si>
  <si>
    <t>Other Expense</t>
  </si>
  <si>
    <t>Financial Ratios</t>
  </si>
  <si>
    <t>LIQUIDITY</t>
  </si>
  <si>
    <t>Current Ratio</t>
  </si>
  <si>
    <t>Acid Test Ratio</t>
  </si>
  <si>
    <t>SOLVENCY</t>
  </si>
  <si>
    <t>Debt to Worth</t>
  </si>
  <si>
    <t>PROFITABILITY</t>
  </si>
  <si>
    <t>Return on Assets</t>
  </si>
  <si>
    <t xml:space="preserve">  </t>
  </si>
  <si>
    <t>Return on Equity</t>
  </si>
  <si>
    <t>A/R Turnover days</t>
  </si>
  <si>
    <t>Inventory days</t>
  </si>
  <si>
    <t>A/P turnover days</t>
  </si>
  <si>
    <t>Debt to Assets</t>
  </si>
  <si>
    <t xml:space="preserve">  Other</t>
  </si>
  <si>
    <t>Tot. Cash Receipt</t>
  </si>
  <si>
    <t>Oper. Expenses</t>
  </si>
  <si>
    <t>Princ. Loan pmts</t>
  </si>
  <si>
    <t>Interest Loan pmts</t>
  </si>
  <si>
    <t>Ending Cash Bal.</t>
  </si>
  <si>
    <t>Opening Cash Bal</t>
  </si>
  <si>
    <t>Total Fixed Costs</t>
  </si>
  <si>
    <t>Cost of Goods Sold Percentage</t>
  </si>
  <si>
    <t>Breakeven Sales Level</t>
  </si>
  <si>
    <t>Projected Revenues</t>
  </si>
  <si>
    <t>Breakeven Analysis</t>
  </si>
  <si>
    <t>For Year Ending</t>
  </si>
  <si>
    <t>For Year Beginning</t>
  </si>
  <si>
    <t>Land</t>
  </si>
  <si>
    <t>Buildings</t>
  </si>
  <si>
    <t>Less: Ret &amp; Allow</t>
  </si>
  <si>
    <t>Travel &amp; Enter.</t>
  </si>
  <si>
    <t>Prof. &amp; Acctg.</t>
  </si>
  <si>
    <t>Depreciation Exp.</t>
  </si>
  <si>
    <t>Insurance Exp.</t>
  </si>
  <si>
    <t>Less: Ret. &amp; Allow.</t>
  </si>
  <si>
    <t>Prof. &amp; Acctg</t>
  </si>
  <si>
    <t>Depreciation</t>
  </si>
  <si>
    <t>Insurance</t>
  </si>
  <si>
    <t>Rep &amp; Maint.</t>
  </si>
  <si>
    <t>Util. &amp; Phone</t>
  </si>
  <si>
    <t>Marketing</t>
  </si>
  <si>
    <t>Prepaid / Deposits</t>
  </si>
  <si>
    <t>Total G&amp;A Exp.</t>
  </si>
  <si>
    <t>Fixed Costs:</t>
  </si>
  <si>
    <t>Owners Draws</t>
  </si>
  <si>
    <t>Draws</t>
  </si>
  <si>
    <t>Capital Expenditures</t>
  </si>
  <si>
    <t>Capital Increase</t>
  </si>
  <si>
    <t>Payment Schedule</t>
  </si>
  <si>
    <t>Calculated Payment:</t>
  </si>
  <si>
    <t>Entered Payment:*</t>
  </si>
  <si>
    <t>Start Table at Pmt No:</t>
  </si>
  <si>
    <t>*Table uses entered payment if specified</t>
  </si>
  <si>
    <t>No.</t>
  </si>
  <si>
    <t>Payment Date</t>
  </si>
  <si>
    <t>Beginning Balance</t>
  </si>
  <si>
    <t>Principal</t>
  </si>
  <si>
    <t>Ending Balance</t>
  </si>
  <si>
    <t>Loan Amortization</t>
  </si>
  <si>
    <t>Enter Your Loan Data:</t>
  </si>
  <si>
    <t>Amount:</t>
  </si>
  <si>
    <t>First Payment Date:</t>
  </si>
  <si>
    <t>Annual Interest Rate:</t>
  </si>
  <si>
    <t>Length of Loan, Years:</t>
  </si>
  <si>
    <t>Payments per Year:</t>
  </si>
  <si>
    <t>Loan Amount:</t>
  </si>
  <si>
    <t>Years Amortization:</t>
  </si>
  <si>
    <t>Interest Rate:</t>
  </si>
  <si>
    <t>Payments per year:</t>
  </si>
  <si>
    <t>Instructions for filing out this spreadsheet</t>
  </si>
  <si>
    <t>Accum Depreciation</t>
  </si>
  <si>
    <t>Enter assumption:</t>
  </si>
  <si>
    <t>Enter Assumption:</t>
  </si>
  <si>
    <t xml:space="preserve">        Enter Factor Below</t>
  </si>
  <si>
    <t>Net Income BT</t>
  </si>
  <si>
    <t>Income Taxes</t>
  </si>
  <si>
    <t>Net Income AT</t>
  </si>
  <si>
    <t>Income Tax %</t>
  </si>
  <si>
    <t>Other Taxes</t>
  </si>
  <si>
    <t>Income taxes</t>
  </si>
  <si>
    <t>Inventory Inc(Dec)rease</t>
  </si>
  <si>
    <t>Inventory Inc(Dec)</t>
  </si>
  <si>
    <t>we have not included virus or other harmful things for your computer.</t>
  </si>
  <si>
    <t>A/R Turns (days to collect)</t>
  </si>
  <si>
    <t xml:space="preserve">This spreadheet is for start-up businesses to use for initial projections. The input </t>
  </si>
  <si>
    <t>requires you to input your startup balance sheet and income statements,</t>
  </si>
  <si>
    <t xml:space="preserve"> and output includes five years of projections, including balance sheet, </t>
  </si>
  <si>
    <t xml:space="preserve">cash flow statement, income statement, breakeven analysis, and ratio analysis.  </t>
  </si>
  <si>
    <t>The format allows monthly input for year one, quarterly for years two and three,</t>
  </si>
  <si>
    <t xml:space="preserve"> and annually for years four and five.  You will move left to right in entering data </t>
  </si>
  <si>
    <t>on the sheets.</t>
  </si>
  <si>
    <t xml:space="preserve">Before you get started, your computer may require some modifications.  </t>
  </si>
  <si>
    <t xml:space="preserve"> Begin by going to Tools, selecting Add-Ins, and then Analysis Tool Pak.  </t>
  </si>
  <si>
    <t xml:space="preserve">This should be all that is required to get your advanced formulas (dates, etc.) to work.  </t>
  </si>
  <si>
    <t xml:space="preserve">you first load it.  Simply select 'Invoke Macros' and proceed.  You can be assured that </t>
  </si>
  <si>
    <t xml:space="preserve">Also, the program utilizes some Macros, and you will get a warning when </t>
  </si>
  <si>
    <t xml:space="preserve">Start by entering your beginning balance sheet information.  Fields shown in blue </t>
  </si>
  <si>
    <t xml:space="preserve">are data entry fields.  Do not make changes to fields shown in black, </t>
  </si>
  <si>
    <t xml:space="preserve">as these have formulas which when altered may affect the integrity of the data.  </t>
  </si>
  <si>
    <t xml:space="preserve">The program will automatically balance your balance sheet, but you can make </t>
  </si>
  <si>
    <t>depreciation for fixed assets.  You may have to average for all asset categories.</t>
  </si>
  <si>
    <t xml:space="preserve">adjustments as required.  On the bottom of the spreadsheet enter the number years for </t>
  </si>
  <si>
    <t xml:space="preserve">By entering the case name and starting date on the B Balance Sheet it should </t>
  </si>
  <si>
    <t>automatically update the rest of the pages.</t>
  </si>
  <si>
    <t>If you will have a term loan you can enter the key information on the Loan Data</t>
  </si>
  <si>
    <t>Schedule sheet which follows.</t>
  </si>
  <si>
    <t xml:space="preserve"> sheet which is next.  You will receive an Amortization printout on the Pmt </t>
  </si>
  <si>
    <t xml:space="preserve">Next, enter key income statement data for year one.  This allows you to take </t>
  </si>
  <si>
    <t>seasonality and start-up sales into consideration.  Most data entries for expenses</t>
  </si>
  <si>
    <t>will automatically be shown for all months to the right.  Merely enter data over these</t>
  </si>
  <si>
    <t xml:space="preserve">fields to correct.  Enter cost of sales percentage, marketing, and tax percentage </t>
  </si>
  <si>
    <t xml:space="preserve">adjustments on the bottom of the page.  </t>
  </si>
  <si>
    <t xml:space="preserve">The cash flow statement which follows allows you to make adjusting entries </t>
  </si>
  <si>
    <t xml:space="preserve">for inventory increases, loan proceeds, fixed asset increases, owners draws, etc. </t>
  </si>
  <si>
    <t>Draws will automatically deduct from net worth, while other adjustments such as</t>
  </si>
  <si>
    <t xml:space="preserve">inventory increases will automatically make changes to inventory on the next </t>
  </si>
  <si>
    <t xml:space="preserve">balance sheet.  Capital expenditures shown must be manually added to the next </t>
  </si>
  <si>
    <t>at the bottom of the cash flow page, with an input for percentage (100% would</t>
  </si>
  <si>
    <t xml:space="preserve">indicate all of a clients sales are on credit) and days turns (30 would indicate that </t>
  </si>
  <si>
    <t xml:space="preserve">a client collects their receivables in 30 days).  Other variables, such as interest </t>
  </si>
  <si>
    <t>income, loan proceeds and other cash receipts, will normally require adjustments</t>
  </si>
  <si>
    <t>to the following balance sheet.  For example, loan proceeds would require</t>
  </si>
  <si>
    <t xml:space="preserve">balance properly.  </t>
  </si>
  <si>
    <t xml:space="preserve">the loan be shown on the next balance sheet, in order for your balance sheet to </t>
  </si>
  <si>
    <t xml:space="preserve">The breakeven analysis shown next does not require input, unless the shown fixed </t>
  </si>
  <si>
    <t xml:space="preserve">costs are not correct.  You can manually make changes to the costs, which will </t>
  </si>
  <si>
    <t>change the breakeven as indicated.</t>
  </si>
  <si>
    <t xml:space="preserve">The 1st Year Balance Sheet is next.  The Excess Cash figure on the balance  </t>
  </si>
  <si>
    <t xml:space="preserve">sheet indicates an "out of balance" situation.  If the excess cash is a sizeable figure, </t>
  </si>
  <si>
    <t xml:space="preserve"> "excess" is in adjustments made to the cash flow sheet preceeding.  </t>
  </si>
  <si>
    <t>you must find where the input may require fixing.  The most typical place to find</t>
  </si>
  <si>
    <t xml:space="preserve">Input for years two through five in the sheets which follow.  Years two and three </t>
  </si>
  <si>
    <t>can be updated easily using percentage variables shown at the bottom of the</t>
  </si>
  <si>
    <t xml:space="preserve">will require quarterly input of sales and other variables.  Typically, the projection </t>
  </si>
  <si>
    <t xml:space="preserve">income statement.  Increase sales by a given percent, along with cost increases.  </t>
  </si>
  <si>
    <t xml:space="preserve">Loans shown during year one should not require any further input, and will show loan </t>
  </si>
  <si>
    <t xml:space="preserve">payments and depreciation of fixed assets over time.  The cash flow statements will </t>
  </si>
  <si>
    <t xml:space="preserve">normally require input of owners draws, inventory increases, capital expenditures, </t>
  </si>
  <si>
    <t>and the like.</t>
  </si>
  <si>
    <t xml:space="preserve">Any page can be printed out individually,  but the most typical projection </t>
  </si>
  <si>
    <t xml:space="preserve">will involve printing the consolidated reports shown at the end of the workbook, </t>
  </si>
  <si>
    <t xml:space="preserve">This workbook was developed by the Small Business Development Center of </t>
  </si>
  <si>
    <t xml:space="preserve">Northland Pioneer College.  It may be shared with clients or others interested </t>
  </si>
  <si>
    <t xml:space="preserve">in developing better projections for their small business.  There is also a separate </t>
  </si>
  <si>
    <t>workbook which takes three years historical data or two years plus interim, and</t>
  </si>
  <si>
    <t xml:space="preserve">allows a five year projection on the same basis.  Any comments or suggestions </t>
  </si>
  <si>
    <t xml:space="preserve">for improvement may be offered to Mark Engle at 520-532-6172.  </t>
  </si>
  <si>
    <t>A/R Turns (Days to collect)</t>
  </si>
  <si>
    <t xml:space="preserve">Finally, before finishing, remember to save your file with a unique name. </t>
  </si>
  <si>
    <t>The workbook you are using is a template, and should not be saved with changes,</t>
  </si>
  <si>
    <t>unless you intend on making them permanent.  Happy projecting!</t>
  </si>
  <si>
    <t>NPC Financial Analysis System</t>
  </si>
  <si>
    <t>NPC Startup Projection</t>
  </si>
  <si>
    <t>RMA Analysis</t>
  </si>
  <si>
    <t>RMA</t>
  </si>
  <si>
    <t>Std. Ind.</t>
  </si>
  <si>
    <t>Assumptions to Projections</t>
  </si>
  <si>
    <t>Loan Amount</t>
  </si>
  <si>
    <t>Interest Rate Assumption</t>
  </si>
  <si>
    <t>Amortization in Years</t>
  </si>
  <si>
    <t>Payment (Principal &amp; Interest)</t>
  </si>
  <si>
    <t>Marketing Expense Percent</t>
  </si>
  <si>
    <t>COGS Percent</t>
  </si>
  <si>
    <t>Total Payroll Tax Percent</t>
  </si>
  <si>
    <t>Returns &amp; Allowance Percent</t>
  </si>
  <si>
    <t>General Expense Percent Increase</t>
  </si>
  <si>
    <t>Year 1</t>
  </si>
  <si>
    <t>Year 2</t>
  </si>
  <si>
    <t>Year 3</t>
  </si>
  <si>
    <t>Year 4</t>
  </si>
  <si>
    <t>Year 5</t>
  </si>
  <si>
    <t>Revenues Percent Increase</t>
  </si>
  <si>
    <t>Gross Revenues</t>
  </si>
  <si>
    <t>The RMA Analysis section requires you input (in Blue) the standards for the industry, provided</t>
  </si>
  <si>
    <t>by Robert Morris Associates.  Once you input the specific variables, the program compares</t>
  </si>
  <si>
    <t>your figures to the industry and shows a 'common size' comparison, which uses a percentage</t>
  </si>
  <si>
    <t xml:space="preserve">of the standard above or below.  </t>
  </si>
  <si>
    <t>analysis, and assumptions.  For cases with a loan, a printout of the Pmt Schedule is also indicated.</t>
  </si>
  <si>
    <t>including balance sheet, cash flow, income statement, ratios, breakeven analysis,</t>
  </si>
  <si>
    <t>A/R Turnover Days</t>
  </si>
  <si>
    <t>TOTAL CASH RECEIPTS</t>
  </si>
  <si>
    <t>TOTAL CASH OUTFLOWS</t>
  </si>
  <si>
    <t>NET CASH FLOW</t>
  </si>
  <si>
    <t xml:space="preserve"> - - - - - - - - - - Common Size (%) - - - - - - - - - - - - - -</t>
  </si>
  <si>
    <t>A/P Dec(Inc)rease</t>
  </si>
  <si>
    <t>A/P Dec(inc)rease</t>
  </si>
  <si>
    <t>Income Tax Percent</t>
  </si>
  <si>
    <t xml:space="preserve">  A/R Collections </t>
  </si>
  <si>
    <t xml:space="preserve"> Draws</t>
  </si>
  <si>
    <t xml:space="preserve"> Cost of Goods</t>
  </si>
  <si>
    <t xml:space="preserve"> A/P Purchases</t>
  </si>
  <si>
    <t xml:space="preserve"> A/P Payments</t>
  </si>
  <si>
    <t>Total Cash Payables</t>
  </si>
  <si>
    <t>A/P percentage</t>
  </si>
  <si>
    <t>A/P Turns (days to pay)</t>
  </si>
  <si>
    <t xml:space="preserve"> Sales</t>
  </si>
  <si>
    <t xml:space="preserve"> A/R Sales</t>
  </si>
  <si>
    <t xml:space="preserve"> A/R Collections</t>
  </si>
  <si>
    <t>Total cash payables</t>
  </si>
  <si>
    <t>A/P Turns (Days to pay)</t>
  </si>
  <si>
    <t>A/P Turnover Days</t>
  </si>
  <si>
    <t>A/R Sales Percentage</t>
  </si>
  <si>
    <t>A/P Payment Percentage</t>
  </si>
  <si>
    <t xml:space="preserve">balance sheet in order to balance.  Accts Receivable &amp; Payable can be provided by input </t>
  </si>
  <si>
    <t xml:space="preserve">With Excel 97 &amp; 2000 you need to invoke an advanced feature, called ValuePak. </t>
  </si>
  <si>
    <t xml:space="preserve"> Total Cash Payable</t>
  </si>
  <si>
    <t>Other Expenses</t>
  </si>
  <si>
    <t>1.5-3.0</t>
  </si>
  <si>
    <t>Higher +</t>
  </si>
  <si>
    <t>.85-2.0</t>
  </si>
  <si>
    <t>Lower +</t>
  </si>
  <si>
    <t>Average +</t>
  </si>
  <si>
    <t>1.00-3.00</t>
  </si>
  <si>
    <t>.50-1.00</t>
  </si>
  <si>
    <t>Speedy B's LLC - NEW</t>
  </si>
  <si>
    <t>Actual Income for 2005 reported at $178,649</t>
  </si>
  <si>
    <t>Using $215,000 for income due to 2004/2005 actuals.</t>
  </si>
  <si>
    <t>Actual expenses $100,149 for 2005</t>
  </si>
  <si>
    <t>Eliminated vehicle ($4932), Outside Labor and Fees ($6200)</t>
  </si>
  <si>
    <t xml:space="preserve">Other taxes ($2378) </t>
  </si>
  <si>
    <t>Increased interest payments and depreciation expense</t>
  </si>
  <si>
    <t>NOTES 7/27/06:</t>
  </si>
  <si>
    <t xml:space="preserve">Sales tax is assumed to be charged above gross income figures </t>
  </si>
  <si>
    <t>and not included in liabilities, expenses or income.</t>
  </si>
  <si>
    <t>Owner is paid $8 per hour ($1600 per month) in wages plus draws on cash flow statement.</t>
  </si>
  <si>
    <t>Draws of $1000 per month year 1:  Total owners salary: $2600 per month before net income.</t>
  </si>
  <si>
    <t>Historical G&amp;A is approximately 56% with vehicle and other taxes.</t>
  </si>
  <si>
    <t>Projected G&amp;A is 43% because of expenses that will not continue</t>
  </si>
  <si>
    <t>YEAR 2</t>
  </si>
  <si>
    <t>Speedy B's was closed for one month that year.</t>
  </si>
  <si>
    <t>YEAR 3</t>
  </si>
  <si>
    <t>YEAR 4</t>
  </si>
  <si>
    <t>YEAR 5</t>
  </si>
  <si>
    <t>Sales increases estimated at 5%, G&amp;A increases at 3%</t>
  </si>
  <si>
    <t>G&amp;A Expense Percentage Years 1-5</t>
  </si>
  <si>
    <t>Owner taking $1500 per month plus salary of $1600 per month: $3100 per month</t>
  </si>
  <si>
    <t>Owner taking $1500per month plus salary of $1600 per month: $3100 per month</t>
  </si>
  <si>
    <t>Owner taking $45,200 per year</t>
  </si>
  <si>
    <t>Owner taking $49,200 per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</si>
</sst>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
    <numFmt numFmtId="167" formatCode="&quot;$&quot;#,##0"/>
    <numFmt numFmtId="168" formatCode="mm/dd/yy"/>
    <numFmt numFmtId="169" formatCode="0;[Red]0"/>
    <numFmt numFmtId="170" formatCode="&quot;$&quot;#,##0.00"/>
    <numFmt numFmtId="171" formatCode="dd\-mmm\-yy"/>
    <numFmt numFmtId="172" formatCode="[$-409]dddd\,\ mmmm\ dd\,\ yyyy"/>
    <numFmt numFmtId="173" formatCode="m/d/yy;@"/>
    <numFmt numFmtId="174" formatCode="0_);\(0\)"/>
  </numFmts>
  <fonts count="19">
    <font>
      <sz val="10"/>
      <name val="Arial"/>
      <family val="0"/>
    </font>
    <font>
      <b/>
      <sz val="10"/>
      <name val="Arial"/>
      <family val="0"/>
    </font>
    <font>
      <i/>
      <sz val="10"/>
      <name val="Arial"/>
      <family val="0"/>
    </font>
    <font>
      <b/>
      <i/>
      <sz val="10"/>
      <name val="Arial"/>
      <family val="0"/>
    </font>
    <font>
      <u val="single"/>
      <sz val="10"/>
      <name val="Arial"/>
      <family val="0"/>
    </font>
    <font>
      <sz val="10"/>
      <color indexed="9"/>
      <name val="Arial"/>
      <family val="2"/>
    </font>
    <font>
      <sz val="10"/>
      <color indexed="12"/>
      <name val="Arial"/>
      <family val="2"/>
    </font>
    <font>
      <b/>
      <sz val="12"/>
      <color indexed="12"/>
      <name val="Arial"/>
      <family val="2"/>
    </font>
    <font>
      <sz val="12"/>
      <name val="Arial"/>
      <family val="2"/>
    </font>
    <font>
      <sz val="9"/>
      <name val="Arial"/>
      <family val="2"/>
    </font>
    <font>
      <b/>
      <sz val="9"/>
      <name val="Arial"/>
      <family val="2"/>
    </font>
    <font>
      <sz val="9"/>
      <color indexed="12"/>
      <name val="Arial"/>
      <family val="2"/>
    </font>
    <font>
      <b/>
      <sz val="8"/>
      <name val="Arial"/>
      <family val="2"/>
    </font>
    <font>
      <sz val="8"/>
      <color indexed="12"/>
      <name val="Arial"/>
      <family val="2"/>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9"/>
      </top>
      <bottom>
        <color indexed="63"/>
      </bottom>
    </border>
    <border>
      <left style="thin">
        <color indexed="9"/>
      </left>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style="thin"/>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uble"/>
    </border>
    <border>
      <left>
        <color indexed="63"/>
      </left>
      <right style="thin"/>
      <top style="thin"/>
      <bottom style="double"/>
    </border>
    <border>
      <left style="thin"/>
      <right style="thin"/>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465">
    <xf numFmtId="0" fontId="0" fillId="0" borderId="0" xfId="0" applyAlignment="1">
      <alignment/>
    </xf>
    <xf numFmtId="0" fontId="0" fillId="2" borderId="0" xfId="0" applyFill="1" applyAlignment="1" applyProtection="1">
      <alignment/>
      <protection locked="0"/>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0" xfId="0" applyFill="1" applyBorder="1" applyAlignment="1" applyProtection="1">
      <alignment/>
      <protection/>
    </xf>
    <xf numFmtId="0" fontId="1" fillId="2" borderId="2" xfId="0" applyFont="1" applyFill="1" applyBorder="1" applyAlignment="1" applyProtection="1">
      <alignment/>
      <protection/>
    </xf>
    <xf numFmtId="0" fontId="1" fillId="2" borderId="0" xfId="0" applyFont="1" applyFill="1" applyBorder="1" applyAlignment="1" applyProtection="1">
      <alignment/>
      <protection/>
    </xf>
    <xf numFmtId="0" fontId="0" fillId="2" borderId="0" xfId="0" applyFill="1" applyAlignment="1" applyProtection="1">
      <alignment horizontal="center"/>
      <protection locked="0"/>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0" xfId="0" applyFill="1" applyAlignment="1" applyProtection="1">
      <alignment/>
      <protection/>
    </xf>
    <xf numFmtId="0" fontId="0" fillId="2" borderId="5" xfId="0" applyFill="1" applyBorder="1" applyAlignment="1" applyProtection="1">
      <alignment/>
      <protection/>
    </xf>
    <xf numFmtId="1" fontId="0" fillId="2" borderId="0" xfId="0" applyNumberFormat="1" applyFill="1" applyBorder="1" applyAlignment="1" applyProtection="1">
      <alignment/>
      <protection locked="0"/>
    </xf>
    <xf numFmtId="1" fontId="0" fillId="2" borderId="0" xfId="0" applyNumberFormat="1" applyFill="1" applyBorder="1" applyAlignment="1" applyProtection="1">
      <alignment/>
      <protection/>
    </xf>
    <xf numFmtId="1" fontId="0" fillId="2" borderId="0" xfId="0" applyNumberFormat="1" applyFill="1" applyAlignment="1" applyProtection="1">
      <alignment/>
      <protection locked="0"/>
    </xf>
    <xf numFmtId="0" fontId="0" fillId="2" borderId="0" xfId="0" applyFill="1" applyAlignment="1">
      <alignment/>
    </xf>
    <xf numFmtId="0" fontId="0" fillId="2" borderId="6" xfId="0" applyFill="1" applyBorder="1" applyAlignment="1">
      <alignment/>
    </xf>
    <xf numFmtId="0" fontId="0" fillId="2" borderId="1" xfId="0" applyFill="1" applyBorder="1" applyAlignment="1">
      <alignment/>
    </xf>
    <xf numFmtId="0" fontId="0" fillId="2" borderId="5" xfId="0" applyFill="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0" fillId="2" borderId="7" xfId="0" applyFill="1" applyBorder="1" applyAlignment="1">
      <alignment/>
    </xf>
    <xf numFmtId="0" fontId="0" fillId="2" borderId="2" xfId="0" applyFill="1" applyBorder="1" applyAlignment="1">
      <alignment/>
    </xf>
    <xf numFmtId="1" fontId="0" fillId="2" borderId="0" xfId="0" applyNumberFormat="1" applyFill="1" applyBorder="1" applyAlignment="1">
      <alignment/>
    </xf>
    <xf numFmtId="9" fontId="0" fillId="2" borderId="0" xfId="0" applyNumberFormat="1" applyFill="1" applyAlignment="1">
      <alignment/>
    </xf>
    <xf numFmtId="0" fontId="0" fillId="2" borderId="4" xfId="0" applyFill="1" applyBorder="1" applyAlignment="1">
      <alignment/>
    </xf>
    <xf numFmtId="0" fontId="0" fillId="2" borderId="3" xfId="0" applyFill="1" applyBorder="1" applyAlignment="1">
      <alignment/>
    </xf>
    <xf numFmtId="0" fontId="0" fillId="2" borderId="8" xfId="0" applyFill="1" applyBorder="1" applyAlignment="1">
      <alignment/>
    </xf>
    <xf numFmtId="0" fontId="0" fillId="0" borderId="0" xfId="0" applyAlignment="1">
      <alignment horizontal="center"/>
    </xf>
    <xf numFmtId="0" fontId="1" fillId="0" borderId="0" xfId="0" applyFont="1" applyAlignment="1">
      <alignment/>
    </xf>
    <xf numFmtId="1" fontId="0" fillId="0" borderId="0" xfId="0" applyNumberFormat="1" applyAlignment="1">
      <alignment/>
    </xf>
    <xf numFmtId="0" fontId="0" fillId="0" borderId="4" xfId="0" applyBorder="1"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3" fontId="0" fillId="0" borderId="4" xfId="0" applyNumberFormat="1" applyBorder="1" applyAlignment="1" applyProtection="1">
      <alignment/>
      <protection locked="0"/>
    </xf>
    <xf numFmtId="3" fontId="0" fillId="0" borderId="0" xfId="0" applyNumberFormat="1" applyBorder="1"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horizontal="center"/>
      <protection/>
    </xf>
    <xf numFmtId="8" fontId="0" fillId="0" borderId="0" xfId="17" applyNumberFormat="1" applyAlignment="1" applyProtection="1">
      <alignment/>
      <protection locked="0"/>
    </xf>
    <xf numFmtId="2" fontId="0" fillId="0" borderId="0" xfId="0" applyNumberFormat="1" applyAlignment="1" applyProtection="1">
      <alignment/>
      <protection/>
    </xf>
    <xf numFmtId="164" fontId="0" fillId="0" borderId="0" xfId="0" applyNumberFormat="1" applyAlignment="1" applyProtection="1">
      <alignment/>
      <protection locked="0"/>
    </xf>
    <xf numFmtId="3" fontId="0" fillId="0" borderId="0" xfId="0" applyNumberFormat="1" applyAlignment="1">
      <alignment/>
    </xf>
    <xf numFmtId="3" fontId="0" fillId="0" borderId="4" xfId="0" applyNumberFormat="1" applyBorder="1" applyAlignment="1">
      <alignment/>
    </xf>
    <xf numFmtId="6" fontId="0" fillId="0" borderId="0" xfId="0" applyNumberFormat="1" applyAlignment="1">
      <alignment/>
    </xf>
    <xf numFmtId="8" fontId="0" fillId="0" borderId="0" xfId="17" applyNumberFormat="1" applyAlignment="1">
      <alignment/>
    </xf>
    <xf numFmtId="2" fontId="0" fillId="0" borderId="0" xfId="0" applyNumberFormat="1" applyAlignment="1">
      <alignment/>
    </xf>
    <xf numFmtId="0" fontId="1" fillId="2" borderId="0" xfId="0" applyFont="1" applyFill="1" applyAlignment="1" applyProtection="1">
      <alignment/>
      <protection/>
    </xf>
    <xf numFmtId="0" fontId="0" fillId="2" borderId="7" xfId="0" applyFill="1" applyBorder="1" applyAlignment="1" applyProtection="1">
      <alignment/>
      <protection/>
    </xf>
    <xf numFmtId="0" fontId="0" fillId="2" borderId="0" xfId="0" applyFill="1" applyAlignment="1" applyProtection="1">
      <alignment horizontal="center"/>
      <protection/>
    </xf>
    <xf numFmtId="0" fontId="0" fillId="2" borderId="8" xfId="0" applyFill="1" applyBorder="1" applyAlignment="1" applyProtection="1">
      <alignment/>
      <protection/>
    </xf>
    <xf numFmtId="1" fontId="0" fillId="2" borderId="0" xfId="0" applyNumberFormat="1" applyFill="1" applyAlignment="1">
      <alignment/>
    </xf>
    <xf numFmtId="2" fontId="0" fillId="2" borderId="0" xfId="0" applyNumberFormat="1" applyFill="1" applyAlignment="1" applyProtection="1">
      <alignment/>
      <protection/>
    </xf>
    <xf numFmtId="1" fontId="0" fillId="2" borderId="0" xfId="0" applyNumberFormat="1" applyFill="1" applyAlignment="1" applyProtection="1">
      <alignment/>
      <protection/>
    </xf>
    <xf numFmtId="0" fontId="0" fillId="0" borderId="0" xfId="0" applyBorder="1" applyAlignment="1">
      <alignment horizontal="center"/>
    </xf>
    <xf numFmtId="1" fontId="0" fillId="0" borderId="0" xfId="0" applyNumberFormat="1" applyBorder="1" applyAlignment="1">
      <alignment/>
    </xf>
    <xf numFmtId="0" fontId="4" fillId="0" borderId="0" xfId="0" applyFont="1" applyBorder="1" applyAlignment="1">
      <alignment/>
    </xf>
    <xf numFmtId="0" fontId="0" fillId="0" borderId="9" xfId="0" applyBorder="1" applyAlignment="1">
      <alignment/>
    </xf>
    <xf numFmtId="0" fontId="0" fillId="0" borderId="10" xfId="0" applyBorder="1" applyAlignment="1">
      <alignment/>
    </xf>
    <xf numFmtId="0" fontId="0" fillId="2" borderId="10" xfId="0" applyFont="1" applyFill="1" applyBorder="1" applyAlignment="1" applyProtection="1">
      <alignment/>
      <protection/>
    </xf>
    <xf numFmtId="0" fontId="0" fillId="0" borderId="7" xfId="0" applyBorder="1" applyAlignment="1">
      <alignment/>
    </xf>
    <xf numFmtId="0" fontId="0" fillId="0" borderId="2" xfId="0" applyBorder="1" applyAlignment="1">
      <alignment/>
    </xf>
    <xf numFmtId="0" fontId="0" fillId="0" borderId="2" xfId="0" applyBorder="1" applyAlignment="1">
      <alignment horizontal="center"/>
    </xf>
    <xf numFmtId="0" fontId="0" fillId="0" borderId="7" xfId="0" applyBorder="1" applyAlignment="1">
      <alignment horizontal="center"/>
    </xf>
    <xf numFmtId="0" fontId="1" fillId="0" borderId="2" xfId="0" applyFont="1" applyBorder="1" applyAlignment="1">
      <alignment/>
    </xf>
    <xf numFmtId="0" fontId="1" fillId="0" borderId="3" xfId="0" applyFont="1" applyBorder="1" applyAlignment="1">
      <alignment/>
    </xf>
    <xf numFmtId="0" fontId="0" fillId="0" borderId="8" xfId="0" applyBorder="1" applyAlignment="1">
      <alignment/>
    </xf>
    <xf numFmtId="1" fontId="0" fillId="0" borderId="2" xfId="0" applyNumberFormat="1" applyBorder="1" applyAlignment="1">
      <alignment/>
    </xf>
    <xf numFmtId="1" fontId="0" fillId="0" borderId="7" xfId="0" applyNumberFormat="1" applyBorder="1" applyAlignment="1">
      <alignment/>
    </xf>
    <xf numFmtId="0" fontId="1" fillId="0" borderId="2" xfId="0" applyFont="1" applyBorder="1" applyAlignment="1" applyProtection="1">
      <alignment/>
      <protection locked="0"/>
    </xf>
    <xf numFmtId="0" fontId="1" fillId="0" borderId="0" xfId="0" applyFont="1" applyBorder="1" applyAlignment="1" applyProtection="1">
      <alignment/>
      <protection locked="0"/>
    </xf>
    <xf numFmtId="3" fontId="1" fillId="0" borderId="0" xfId="0" applyNumberFormat="1" applyFont="1" applyBorder="1" applyAlignment="1" applyProtection="1">
      <alignment/>
      <protection locked="0"/>
    </xf>
    <xf numFmtId="0" fontId="0" fillId="0" borderId="0" xfId="0" applyBorder="1" applyAlignment="1" applyProtection="1">
      <alignment/>
      <protection locked="0"/>
    </xf>
    <xf numFmtId="3" fontId="0" fillId="0" borderId="7" xfId="0" applyNumberFormat="1" applyBorder="1" applyAlignment="1" applyProtection="1">
      <alignment/>
      <protection locked="0"/>
    </xf>
    <xf numFmtId="0" fontId="0" fillId="0" borderId="2" xfId="0" applyBorder="1" applyAlignment="1" applyProtection="1">
      <alignment/>
      <protection locked="0"/>
    </xf>
    <xf numFmtId="3" fontId="0" fillId="0" borderId="8" xfId="0" applyNumberFormat="1" applyBorder="1" applyAlignment="1" applyProtection="1">
      <alignment/>
      <protection locked="0"/>
    </xf>
    <xf numFmtId="0" fontId="0" fillId="0" borderId="4" xfId="0" applyBorder="1" applyAlignment="1" applyProtection="1">
      <alignment/>
      <protection locked="0"/>
    </xf>
    <xf numFmtId="2" fontId="0" fillId="0" borderId="0" xfId="0" applyNumberFormat="1" applyBorder="1" applyAlignment="1">
      <alignment/>
    </xf>
    <xf numFmtId="9" fontId="0" fillId="0" borderId="0" xfId="21" applyAlignment="1">
      <alignment/>
    </xf>
    <xf numFmtId="0" fontId="1" fillId="0" borderId="2" xfId="0" applyFont="1" applyBorder="1" applyAlignment="1" applyProtection="1">
      <alignment/>
      <protection locked="0"/>
    </xf>
    <xf numFmtId="0" fontId="1" fillId="0" borderId="0" xfId="0" applyFont="1" applyBorder="1" applyAlignment="1">
      <alignment/>
    </xf>
    <xf numFmtId="0" fontId="0" fillId="0" borderId="2" xfId="0" applyFont="1" applyBorder="1" applyAlignment="1" applyProtection="1">
      <alignment/>
      <protection locked="0"/>
    </xf>
    <xf numFmtId="0" fontId="0" fillId="0" borderId="6" xfId="0" applyBorder="1" applyAlignment="1">
      <alignment/>
    </xf>
    <xf numFmtId="165" fontId="0" fillId="0" borderId="1" xfId="0" applyNumberFormat="1" applyBorder="1" applyAlignment="1">
      <alignment/>
    </xf>
    <xf numFmtId="0" fontId="0" fillId="0" borderId="1" xfId="0" applyBorder="1" applyAlignment="1">
      <alignment/>
    </xf>
    <xf numFmtId="0" fontId="0" fillId="0" borderId="5" xfId="0" applyBorder="1" applyAlignment="1">
      <alignment/>
    </xf>
    <xf numFmtId="0" fontId="0" fillId="0" borderId="7" xfId="0" applyBorder="1" applyAlignment="1">
      <alignment horizontal="right"/>
    </xf>
    <xf numFmtId="0" fontId="0" fillId="2" borderId="0" xfId="0" applyFill="1" applyBorder="1" applyAlignment="1" applyProtection="1">
      <alignment/>
      <protection locked="0"/>
    </xf>
    <xf numFmtId="1" fontId="0" fillId="0" borderId="0" xfId="0" applyNumberFormat="1" applyFill="1" applyBorder="1" applyAlignment="1" applyProtection="1">
      <alignment horizontal="centerContinuous"/>
      <protection/>
    </xf>
    <xf numFmtId="1" fontId="0" fillId="0" borderId="0" xfId="0" applyNumberFormat="1" applyFill="1" applyBorder="1" applyAlignment="1" applyProtection="1">
      <alignment horizontal="center"/>
      <protection/>
    </xf>
    <xf numFmtId="14" fontId="0" fillId="0" borderId="0" xfId="0" applyNumberFormat="1" applyFill="1" applyBorder="1" applyAlignment="1" applyProtection="1">
      <alignment horizontal="center"/>
      <protection/>
    </xf>
    <xf numFmtId="1" fontId="0" fillId="0" borderId="0" xfId="0" applyNumberFormat="1" applyFill="1" applyBorder="1" applyAlignment="1" applyProtection="1">
      <alignment/>
      <protection/>
    </xf>
    <xf numFmtId="1" fontId="0" fillId="0" borderId="0" xfId="0" applyNumberFormat="1" applyFill="1" applyBorder="1" applyAlignment="1" applyProtection="1">
      <alignment horizontal="right"/>
      <protection/>
    </xf>
    <xf numFmtId="1" fontId="0" fillId="0" borderId="0" xfId="0" applyNumberFormat="1" applyFill="1" applyBorder="1" applyAlignment="1" applyProtection="1">
      <alignment/>
      <protection locked="0"/>
    </xf>
    <xf numFmtId="1" fontId="0" fillId="0" borderId="0" xfId="0" applyNumberFormat="1" applyFill="1" applyAlignment="1" applyProtection="1">
      <alignment/>
      <protection locked="0"/>
    </xf>
    <xf numFmtId="14" fontId="0" fillId="0" borderId="0" xfId="0" applyNumberFormat="1" applyAlignment="1">
      <alignment/>
    </xf>
    <xf numFmtId="169" fontId="0" fillId="0" borderId="0" xfId="0" applyNumberFormat="1" applyBorder="1" applyAlignment="1">
      <alignment/>
    </xf>
    <xf numFmtId="169" fontId="0" fillId="0" borderId="0" xfId="0" applyNumberFormat="1" applyAlignment="1">
      <alignment/>
    </xf>
    <xf numFmtId="14" fontId="0" fillId="0" borderId="6" xfId="0" applyNumberFormat="1" applyBorder="1" applyAlignment="1">
      <alignment/>
    </xf>
    <xf numFmtId="14" fontId="0" fillId="0" borderId="2" xfId="0" applyNumberFormat="1" applyBorder="1" applyAlignment="1">
      <alignment/>
    </xf>
    <xf numFmtId="14" fontId="0" fillId="0" borderId="0" xfId="0" applyNumberFormat="1" applyBorder="1" applyAlignment="1">
      <alignment/>
    </xf>
    <xf numFmtId="14" fontId="0" fillId="0" borderId="7" xfId="0" applyNumberFormat="1" applyBorder="1" applyAlignment="1">
      <alignment/>
    </xf>
    <xf numFmtId="0" fontId="0" fillId="0" borderId="3" xfId="0" applyBorder="1" applyAlignment="1">
      <alignment/>
    </xf>
    <xf numFmtId="169" fontId="0" fillId="0" borderId="2" xfId="0" applyNumberFormat="1" applyBorder="1" applyAlignment="1">
      <alignment/>
    </xf>
    <xf numFmtId="14" fontId="0" fillId="0" borderId="6" xfId="0" applyNumberFormat="1"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14" fontId="0" fillId="0" borderId="5" xfId="0" applyNumberFormat="1" applyFill="1" applyBorder="1" applyAlignment="1" applyProtection="1">
      <alignment horizontal="center"/>
      <protection locked="0"/>
    </xf>
    <xf numFmtId="0" fontId="0" fillId="0" borderId="3" xfId="0" applyBorder="1" applyAlignment="1" applyProtection="1">
      <alignment/>
      <protection locked="0"/>
    </xf>
    <xf numFmtId="14" fontId="0" fillId="0" borderId="1" xfId="0" applyNumberFormat="1" applyBorder="1" applyAlignment="1">
      <alignment/>
    </xf>
    <xf numFmtId="14" fontId="0" fillId="0" borderId="5" xfId="0" applyNumberFormat="1" applyBorder="1" applyAlignment="1">
      <alignment/>
    </xf>
    <xf numFmtId="14" fontId="1" fillId="0" borderId="2" xfId="0" applyNumberFormat="1" applyFont="1" applyBorder="1" applyAlignment="1">
      <alignment/>
    </xf>
    <xf numFmtId="14" fontId="1" fillId="0" borderId="0" xfId="0" applyNumberFormat="1" applyFont="1" applyBorder="1" applyAlignment="1">
      <alignment/>
    </xf>
    <xf numFmtId="169" fontId="1" fillId="0" borderId="2" xfId="0" applyNumberFormat="1" applyFont="1" applyBorder="1" applyAlignment="1">
      <alignment/>
    </xf>
    <xf numFmtId="14" fontId="1" fillId="0" borderId="3" xfId="0" applyNumberFormat="1" applyFont="1" applyBorder="1" applyAlignment="1">
      <alignment/>
    </xf>
    <xf numFmtId="14" fontId="0" fillId="0" borderId="7" xfId="0" applyNumberFormat="1" applyBorder="1" applyAlignment="1">
      <alignment horizontal="right"/>
    </xf>
    <xf numFmtId="14" fontId="0" fillId="0" borderId="3" xfId="0" applyNumberFormat="1" applyBorder="1" applyAlignment="1">
      <alignment/>
    </xf>
    <xf numFmtId="8" fontId="0" fillId="2" borderId="0" xfId="0" applyNumberFormat="1" applyFill="1" applyAlignment="1" applyProtection="1">
      <alignment/>
      <protection/>
    </xf>
    <xf numFmtId="0" fontId="0" fillId="2" borderId="0" xfId="0" applyFill="1" applyAlignment="1" applyProtection="1">
      <alignment horizontal="left"/>
      <protection locked="0"/>
    </xf>
    <xf numFmtId="0" fontId="0" fillId="2" borderId="0" xfId="0" applyFill="1" applyAlignment="1" applyProtection="1">
      <alignment horizontal="left"/>
      <protection/>
    </xf>
    <xf numFmtId="8" fontId="0" fillId="0" borderId="0" xfId="0" applyNumberFormat="1" applyAlignment="1">
      <alignment/>
    </xf>
    <xf numFmtId="8" fontId="0" fillId="2" borderId="0" xfId="0" applyNumberFormat="1" applyFill="1" applyAlignment="1" applyProtection="1">
      <alignment/>
      <protection locked="0"/>
    </xf>
    <xf numFmtId="14" fontId="0" fillId="0" borderId="8" xfId="0" applyNumberFormat="1" applyBorder="1" applyAlignment="1">
      <alignment/>
    </xf>
    <xf numFmtId="14" fontId="0" fillId="0" borderId="4" xfId="0" applyNumberFormat="1" applyBorder="1" applyAlignment="1">
      <alignment/>
    </xf>
    <xf numFmtId="1" fontId="0" fillId="0" borderId="8" xfId="0" applyNumberFormat="1" applyBorder="1" applyAlignment="1">
      <alignment/>
    </xf>
    <xf numFmtId="169" fontId="0" fillId="2" borderId="0" xfId="0" applyNumberFormat="1" applyFill="1" applyAlignment="1" applyProtection="1">
      <alignment/>
      <protection/>
    </xf>
    <xf numFmtId="6" fontId="0" fillId="0" borderId="1" xfId="0" applyNumberFormat="1" applyBorder="1" applyAlignment="1">
      <alignment/>
    </xf>
    <xf numFmtId="6" fontId="0" fillId="0" borderId="1" xfId="0" applyNumberFormat="1" applyBorder="1" applyAlignment="1">
      <alignment horizontal="right"/>
    </xf>
    <xf numFmtId="14" fontId="0" fillId="0" borderId="1" xfId="0" applyNumberFormat="1" applyBorder="1" applyAlignment="1">
      <alignment horizontal="left"/>
    </xf>
    <xf numFmtId="6" fontId="0" fillId="0" borderId="5" xfId="0" applyNumberFormat="1" applyBorder="1" applyAlignment="1">
      <alignment/>
    </xf>
    <xf numFmtId="6" fontId="0" fillId="0" borderId="0" xfId="0" applyNumberFormat="1" applyBorder="1" applyAlignment="1">
      <alignment/>
    </xf>
    <xf numFmtId="6" fontId="0" fillId="0" borderId="7" xfId="0" applyNumberFormat="1" applyBorder="1" applyAlignment="1">
      <alignment/>
    </xf>
    <xf numFmtId="6" fontId="0" fillId="0" borderId="4" xfId="0" applyNumberFormat="1" applyBorder="1" applyAlignment="1">
      <alignment/>
    </xf>
    <xf numFmtId="6" fontId="0" fillId="0" borderId="8" xfId="0" applyNumberFormat="1" applyBorder="1" applyAlignment="1">
      <alignment/>
    </xf>
    <xf numFmtId="0" fontId="1" fillId="2" borderId="0" xfId="0" applyFont="1" applyFill="1" applyAlignment="1" applyProtection="1">
      <alignment/>
      <protection locked="0"/>
    </xf>
    <xf numFmtId="0" fontId="0" fillId="2" borderId="6" xfId="0" applyFill="1" applyBorder="1" applyAlignment="1" applyProtection="1">
      <alignment horizontal="left"/>
      <protection/>
    </xf>
    <xf numFmtId="1" fontId="1" fillId="0" borderId="0" xfId="0" applyNumberFormat="1" applyFont="1" applyAlignment="1">
      <alignment/>
    </xf>
    <xf numFmtId="0" fontId="1" fillId="0" borderId="0" xfId="0" applyFont="1" applyAlignment="1">
      <alignment/>
    </xf>
    <xf numFmtId="0" fontId="1" fillId="0" borderId="10" xfId="0" applyFont="1" applyBorder="1" applyAlignment="1">
      <alignment/>
    </xf>
    <xf numFmtId="0" fontId="0" fillId="0" borderId="6" xfId="0" applyFill="1" applyBorder="1" applyAlignment="1">
      <alignment/>
    </xf>
    <xf numFmtId="165" fontId="0" fillId="0" borderId="1" xfId="0" applyNumberFormat="1" applyFill="1" applyBorder="1" applyAlignment="1">
      <alignment/>
    </xf>
    <xf numFmtId="0" fontId="0" fillId="0" borderId="1" xfId="0" applyFill="1" applyBorder="1" applyAlignment="1">
      <alignment/>
    </xf>
    <xf numFmtId="0" fontId="0" fillId="0" borderId="5" xfId="0" applyFill="1" applyBorder="1" applyAlignment="1">
      <alignment/>
    </xf>
    <xf numFmtId="0" fontId="1" fillId="0" borderId="0" xfId="0" applyFont="1" applyBorder="1" applyAlignment="1">
      <alignment/>
    </xf>
    <xf numFmtId="1" fontId="0" fillId="0" borderId="6" xfId="0" applyNumberFormat="1" applyBorder="1" applyAlignment="1">
      <alignment/>
    </xf>
    <xf numFmtId="1" fontId="0" fillId="0" borderId="1" xfId="0" applyNumberFormat="1" applyBorder="1" applyAlignment="1">
      <alignment/>
    </xf>
    <xf numFmtId="1" fontId="1" fillId="0" borderId="2" xfId="0" applyNumberFormat="1" applyFont="1" applyBorder="1" applyAlignment="1">
      <alignment/>
    </xf>
    <xf numFmtId="1" fontId="0" fillId="0" borderId="4" xfId="0" applyNumberFormat="1" applyBorder="1" applyAlignment="1">
      <alignment/>
    </xf>
    <xf numFmtId="1" fontId="0" fillId="0" borderId="11" xfId="0" applyNumberFormat="1" applyBorder="1" applyAlignment="1">
      <alignment/>
    </xf>
    <xf numFmtId="1" fontId="0" fillId="0" borderId="12" xfId="0" applyNumberFormat="1" applyBorder="1" applyAlignment="1">
      <alignment/>
    </xf>
    <xf numFmtId="1" fontId="0" fillId="0" borderId="3" xfId="0" applyNumberFormat="1" applyBorder="1" applyAlignment="1">
      <alignment/>
    </xf>
    <xf numFmtId="1" fontId="0" fillId="0" borderId="7" xfId="0" applyNumberFormat="1" applyBorder="1" applyAlignment="1" applyProtection="1">
      <alignment/>
      <protection locked="0"/>
    </xf>
    <xf numFmtId="1" fontId="0" fillId="0" borderId="0" xfId="0" applyNumberFormat="1" applyBorder="1" applyAlignment="1" applyProtection="1">
      <alignment/>
      <protection locked="0"/>
    </xf>
    <xf numFmtId="1" fontId="0" fillId="2" borderId="4" xfId="0" applyNumberFormat="1" applyFill="1" applyBorder="1" applyAlignment="1" applyProtection="1">
      <alignment/>
      <protection/>
    </xf>
    <xf numFmtId="1" fontId="0" fillId="0" borderId="0" xfId="0" applyNumberFormat="1" applyBorder="1" applyAlignment="1">
      <alignment horizontal="center"/>
    </xf>
    <xf numFmtId="1" fontId="0" fillId="0" borderId="7" xfId="0" applyNumberFormat="1" applyBorder="1" applyAlignment="1">
      <alignment horizontal="center"/>
    </xf>
    <xf numFmtId="2" fontId="0" fillId="0" borderId="0" xfId="0" applyNumberFormat="1" applyBorder="1" applyAlignment="1">
      <alignment horizontal="center"/>
    </xf>
    <xf numFmtId="2" fontId="0" fillId="0" borderId="7" xfId="0" applyNumberFormat="1" applyBorder="1" applyAlignment="1">
      <alignment horizontal="center"/>
    </xf>
    <xf numFmtId="164" fontId="0" fillId="0" borderId="0" xfId="0" applyNumberFormat="1" applyBorder="1" applyAlignment="1">
      <alignment horizontal="center"/>
    </xf>
    <xf numFmtId="164" fontId="0" fillId="0" borderId="7" xfId="0" applyNumberFormat="1" applyBorder="1" applyAlignment="1">
      <alignment horizontal="center"/>
    </xf>
    <xf numFmtId="1" fontId="0" fillId="0" borderId="4" xfId="0" applyNumberFormat="1" applyBorder="1" applyAlignment="1">
      <alignment horizontal="center"/>
    </xf>
    <xf numFmtId="1" fontId="0" fillId="0" borderId="8" xfId="0" applyNumberFormat="1" applyBorder="1" applyAlignment="1">
      <alignment horizontal="center"/>
    </xf>
    <xf numFmtId="0" fontId="0" fillId="0" borderId="13" xfId="0" applyBorder="1" applyAlignment="1">
      <alignment/>
    </xf>
    <xf numFmtId="1" fontId="0" fillId="0" borderId="14" xfId="0" applyNumberFormat="1" applyBorder="1" applyAlignment="1">
      <alignment/>
    </xf>
    <xf numFmtId="0" fontId="0" fillId="0" borderId="4" xfId="0" applyFont="1" applyBorder="1" applyAlignment="1">
      <alignment/>
    </xf>
    <xf numFmtId="0" fontId="1" fillId="0" borderId="0" xfId="0" applyFont="1" applyAlignment="1">
      <alignment/>
    </xf>
    <xf numFmtId="40" fontId="0" fillId="0" borderId="0" xfId="0" applyNumberFormat="1" applyFont="1" applyAlignment="1">
      <alignment/>
    </xf>
    <xf numFmtId="0" fontId="1" fillId="0" borderId="4" xfId="0" applyFont="1" applyBorder="1" applyAlignment="1">
      <alignment wrapText="1"/>
    </xf>
    <xf numFmtId="168" fontId="0" fillId="0" borderId="0" xfId="0" applyNumberFormat="1" applyFont="1" applyAlignment="1">
      <alignment/>
    </xf>
    <xf numFmtId="0" fontId="1" fillId="0" borderId="4" xfId="0" applyFont="1" applyBorder="1" applyAlignment="1">
      <alignment/>
    </xf>
    <xf numFmtId="0" fontId="0" fillId="0" borderId="0" xfId="0" applyFont="1" applyAlignment="1">
      <alignment horizontal="right"/>
    </xf>
    <xf numFmtId="0" fontId="1" fillId="0" borderId="0" xfId="0" applyFont="1" applyAlignment="1">
      <alignment horizontal="right"/>
    </xf>
    <xf numFmtId="1" fontId="6" fillId="2" borderId="0" xfId="0" applyNumberFormat="1" applyFont="1" applyFill="1" applyBorder="1" applyAlignment="1" applyProtection="1">
      <alignment/>
      <protection/>
    </xf>
    <xf numFmtId="1" fontId="6" fillId="2" borderId="4" xfId="0" applyNumberFormat="1" applyFont="1" applyFill="1" applyBorder="1" applyAlignment="1" applyProtection="1">
      <alignment/>
      <protection/>
    </xf>
    <xf numFmtId="0" fontId="7" fillId="0" borderId="4" xfId="0" applyFont="1" applyBorder="1" applyAlignment="1">
      <alignment/>
    </xf>
    <xf numFmtId="0" fontId="6" fillId="0" borderId="4" xfId="0" applyFont="1" applyBorder="1" applyAlignment="1">
      <alignment/>
    </xf>
    <xf numFmtId="9" fontId="6" fillId="2" borderId="0" xfId="21" applyFont="1" applyFill="1" applyBorder="1" applyAlignment="1" applyProtection="1">
      <alignment/>
      <protection locked="0"/>
    </xf>
    <xf numFmtId="166" fontId="6" fillId="0" borderId="0" xfId="21" applyNumberFormat="1" applyFont="1" applyBorder="1" applyAlignment="1">
      <alignment horizontal="center"/>
    </xf>
    <xf numFmtId="9" fontId="6" fillId="0" borderId="0" xfId="21" applyFont="1" applyBorder="1" applyAlignment="1">
      <alignment horizontal="center"/>
    </xf>
    <xf numFmtId="166" fontId="6" fillId="2" borderId="0" xfId="21" applyNumberFormat="1" applyFont="1" applyFill="1" applyBorder="1" applyAlignment="1" applyProtection="1">
      <alignment horizontal="center"/>
      <protection/>
    </xf>
    <xf numFmtId="0" fontId="6" fillId="0" borderId="0" xfId="0" applyFont="1" applyBorder="1" applyAlignment="1">
      <alignment/>
    </xf>
    <xf numFmtId="10" fontId="6" fillId="0" borderId="0" xfId="21" applyNumberFormat="1" applyFont="1" applyBorder="1" applyAlignment="1">
      <alignment horizontal="center"/>
    </xf>
    <xf numFmtId="9" fontId="6" fillId="0" borderId="0" xfId="21" applyFont="1" applyAlignment="1">
      <alignment/>
    </xf>
    <xf numFmtId="1" fontId="6" fillId="0" borderId="0" xfId="0" applyNumberFormat="1" applyFont="1" applyBorder="1" applyAlignment="1">
      <alignment/>
    </xf>
    <xf numFmtId="1" fontId="6" fillId="0" borderId="7" xfId="0" applyNumberFormat="1" applyFont="1" applyBorder="1" applyAlignment="1">
      <alignment/>
    </xf>
    <xf numFmtId="1" fontId="6" fillId="0" borderId="8" xfId="0" applyNumberFormat="1" applyFont="1" applyBorder="1" applyAlignment="1">
      <alignment/>
    </xf>
    <xf numFmtId="1" fontId="0" fillId="0" borderId="0" xfId="0" applyNumberFormat="1" applyFont="1" applyAlignment="1">
      <alignment/>
    </xf>
    <xf numFmtId="0" fontId="7" fillId="0" borderId="0" xfId="0" applyFont="1" applyAlignment="1">
      <alignment/>
    </xf>
    <xf numFmtId="38" fontId="0" fillId="0" borderId="0" xfId="0" applyNumberFormat="1" applyAlignment="1">
      <alignment/>
    </xf>
    <xf numFmtId="10" fontId="0" fillId="0" borderId="0" xfId="0" applyNumberFormat="1" applyAlignment="1">
      <alignment/>
    </xf>
    <xf numFmtId="166" fontId="6" fillId="2" borderId="0" xfId="21" applyNumberFormat="1" applyFont="1" applyFill="1" applyAlignment="1" applyProtection="1">
      <alignment horizontal="center"/>
      <protection/>
    </xf>
    <xf numFmtId="10" fontId="6" fillId="2" borderId="0" xfId="21" applyNumberFormat="1" applyFont="1" applyFill="1" applyAlignment="1" applyProtection="1">
      <alignment horizontal="center"/>
      <protection/>
    </xf>
    <xf numFmtId="0" fontId="6" fillId="2" borderId="0" xfId="0" applyFont="1" applyFill="1" applyAlignment="1" applyProtection="1">
      <alignment/>
      <protection/>
    </xf>
    <xf numFmtId="0" fontId="7" fillId="0" borderId="0" xfId="0" applyFont="1" applyBorder="1" applyAlignment="1">
      <alignment/>
    </xf>
    <xf numFmtId="0" fontId="0" fillId="0" borderId="0" xfId="0" applyFont="1" applyBorder="1" applyAlignment="1">
      <alignment/>
    </xf>
    <xf numFmtId="38" fontId="6" fillId="0" borderId="0" xfId="0" applyNumberFormat="1" applyFont="1" applyAlignment="1">
      <alignment/>
    </xf>
    <xf numFmtId="10" fontId="6" fillId="0" borderId="0" xfId="0" applyNumberFormat="1" applyFont="1" applyAlignment="1">
      <alignment/>
    </xf>
    <xf numFmtId="0" fontId="6" fillId="0" borderId="0" xfId="0" applyFont="1" applyAlignment="1">
      <alignment/>
    </xf>
    <xf numFmtId="0" fontId="6" fillId="2" borderId="0" xfId="0" applyFont="1" applyFill="1" applyBorder="1" applyAlignment="1" applyProtection="1">
      <alignment horizontal="center"/>
      <protection/>
    </xf>
    <xf numFmtId="9" fontId="6" fillId="2" borderId="0" xfId="0" applyNumberFormat="1" applyFont="1" applyFill="1" applyAlignment="1" applyProtection="1">
      <alignment horizontal="center"/>
      <protection/>
    </xf>
    <xf numFmtId="0" fontId="1" fillId="0" borderId="13" xfId="0" applyFont="1" applyBorder="1" applyAlignment="1">
      <alignment/>
    </xf>
    <xf numFmtId="0" fontId="1" fillId="0" borderId="15" xfId="0" applyFont="1" applyBorder="1" applyAlignment="1">
      <alignment/>
    </xf>
    <xf numFmtId="9" fontId="6" fillId="0" borderId="0" xfId="0" applyNumberFormat="1" applyFont="1" applyBorder="1" applyAlignment="1">
      <alignment horizontal="center"/>
    </xf>
    <xf numFmtId="9" fontId="6" fillId="0" borderId="0" xfId="0" applyNumberFormat="1" applyFont="1" applyAlignment="1">
      <alignment horizontal="center"/>
    </xf>
    <xf numFmtId="14" fontId="1" fillId="0" borderId="13" xfId="0" applyNumberFormat="1" applyFont="1" applyBorder="1" applyAlignment="1">
      <alignment/>
    </xf>
    <xf numFmtId="14" fontId="1" fillId="0" borderId="15" xfId="0" applyNumberFormat="1" applyFont="1" applyBorder="1" applyAlignment="1">
      <alignment/>
    </xf>
    <xf numFmtId="0" fontId="0" fillId="0" borderId="0" xfId="0" applyFont="1" applyAlignment="1">
      <alignment/>
    </xf>
    <xf numFmtId="0" fontId="8" fillId="0" borderId="0" xfId="0" applyFont="1" applyAlignment="1">
      <alignment/>
    </xf>
    <xf numFmtId="1" fontId="6" fillId="2" borderId="0" xfId="0" applyNumberFormat="1" applyFont="1" applyFill="1" applyAlignment="1" applyProtection="1">
      <alignment/>
      <protection locked="0"/>
    </xf>
    <xf numFmtId="1" fontId="6" fillId="0" borderId="0" xfId="0" applyNumberFormat="1" applyFont="1" applyAlignment="1">
      <alignment horizontal="right"/>
    </xf>
    <xf numFmtId="0" fontId="6" fillId="0" borderId="0" xfId="0" applyFont="1" applyAlignment="1">
      <alignment horizontal="right"/>
    </xf>
    <xf numFmtId="14" fontId="1" fillId="0" borderId="1" xfId="0" applyNumberFormat="1" applyFont="1" applyBorder="1" applyAlignment="1">
      <alignment/>
    </xf>
    <xf numFmtId="0" fontId="1" fillId="0" borderId="0" xfId="0" applyFont="1" applyBorder="1" applyAlignment="1">
      <alignment horizontal="right"/>
    </xf>
    <xf numFmtId="0" fontId="1" fillId="0" borderId="7" xfId="0" applyFont="1" applyBorder="1" applyAlignment="1">
      <alignment horizontal="right"/>
    </xf>
    <xf numFmtId="6" fontId="1" fillId="0" borderId="0" xfId="0" applyNumberFormat="1" applyFont="1" applyBorder="1" applyAlignment="1">
      <alignment horizontal="right"/>
    </xf>
    <xf numFmtId="6" fontId="1" fillId="0" borderId="7" xfId="0" applyNumberFormat="1" applyFont="1" applyBorder="1" applyAlignment="1">
      <alignment horizontal="right"/>
    </xf>
    <xf numFmtId="0" fontId="1" fillId="0" borderId="0"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xf>
    <xf numFmtId="0" fontId="9" fillId="2" borderId="16" xfId="0" applyFont="1" applyFill="1" applyBorder="1" applyAlignment="1" applyProtection="1">
      <alignment horizontal="center"/>
      <protection/>
    </xf>
    <xf numFmtId="0" fontId="10" fillId="2" borderId="16" xfId="0" applyFont="1" applyFill="1" applyBorder="1" applyAlignment="1" applyProtection="1">
      <alignment/>
      <protection/>
    </xf>
    <xf numFmtId="1" fontId="9" fillId="2" borderId="16" xfId="0" applyNumberFormat="1" applyFont="1" applyFill="1" applyBorder="1" applyAlignment="1" applyProtection="1">
      <alignment/>
      <protection/>
    </xf>
    <xf numFmtId="0" fontId="9" fillId="2" borderId="16" xfId="0" applyFont="1" applyFill="1" applyBorder="1" applyAlignment="1" applyProtection="1">
      <alignment/>
      <protection locked="0"/>
    </xf>
    <xf numFmtId="0" fontId="9" fillId="2" borderId="16" xfId="0" applyFont="1" applyFill="1" applyBorder="1" applyAlignment="1" applyProtection="1">
      <alignment/>
      <protection/>
    </xf>
    <xf numFmtId="0" fontId="11" fillId="2" borderId="16" xfId="0" applyFont="1" applyFill="1" applyBorder="1" applyAlignment="1" applyProtection="1">
      <alignment/>
      <protection/>
    </xf>
    <xf numFmtId="0" fontId="10" fillId="2" borderId="17" xfId="0" applyFont="1" applyFill="1" applyBorder="1" applyAlignment="1" applyProtection="1">
      <alignment/>
      <protection/>
    </xf>
    <xf numFmtId="0" fontId="9" fillId="2" borderId="18" xfId="0" applyFont="1" applyFill="1" applyBorder="1" applyAlignment="1" applyProtection="1">
      <alignment horizontal="center"/>
      <protection/>
    </xf>
    <xf numFmtId="0" fontId="9" fillId="0" borderId="16" xfId="0" applyFont="1" applyBorder="1" applyAlignment="1">
      <alignment/>
    </xf>
    <xf numFmtId="0" fontId="10" fillId="2" borderId="19" xfId="0" applyFont="1" applyFill="1" applyBorder="1" applyAlignment="1" applyProtection="1">
      <alignment/>
      <protection/>
    </xf>
    <xf numFmtId="0" fontId="10" fillId="2" borderId="20" xfId="0" applyFont="1" applyFill="1" applyBorder="1" applyAlignment="1" applyProtection="1">
      <alignment/>
      <protection/>
    </xf>
    <xf numFmtId="1" fontId="1" fillId="0" borderId="4" xfId="0" applyNumberFormat="1" applyFont="1" applyBorder="1" applyAlignment="1">
      <alignment/>
    </xf>
    <xf numFmtId="2" fontId="6" fillId="0" borderId="0" xfId="0" applyNumberFormat="1" applyFont="1" applyBorder="1" applyAlignment="1">
      <alignment horizontal="center"/>
    </xf>
    <xf numFmtId="1" fontId="6" fillId="0" borderId="0" xfId="0" applyNumberFormat="1" applyFont="1" applyBorder="1" applyAlignment="1">
      <alignment horizontal="center"/>
    </xf>
    <xf numFmtId="164" fontId="6" fillId="0" borderId="0" xfId="0" applyNumberFormat="1" applyFont="1" applyBorder="1" applyAlignment="1">
      <alignment horizontal="center"/>
    </xf>
    <xf numFmtId="9" fontId="0" fillId="0" borderId="0" xfId="0" applyNumberFormat="1" applyBorder="1" applyAlignment="1">
      <alignment horizontal="center"/>
    </xf>
    <xf numFmtId="9" fontId="0" fillId="0" borderId="7" xfId="0" applyNumberFormat="1" applyBorder="1" applyAlignment="1">
      <alignment horizontal="center"/>
    </xf>
    <xf numFmtId="170" fontId="0" fillId="0" borderId="4" xfId="0" applyNumberFormat="1" applyBorder="1" applyAlignment="1">
      <alignment/>
    </xf>
    <xf numFmtId="17" fontId="12" fillId="2" borderId="21" xfId="0" applyNumberFormat="1" applyFont="1" applyFill="1" applyBorder="1" applyAlignment="1" applyProtection="1">
      <alignment horizontal="right"/>
      <protection/>
    </xf>
    <xf numFmtId="17" fontId="12" fillId="2" borderId="13" xfId="0" applyNumberFormat="1" applyFont="1" applyFill="1" applyBorder="1" applyAlignment="1" applyProtection="1">
      <alignment horizontal="right"/>
      <protection/>
    </xf>
    <xf numFmtId="0" fontId="12" fillId="2" borderId="22" xfId="0" applyFont="1" applyFill="1" applyBorder="1" applyAlignment="1" applyProtection="1">
      <alignment horizontal="center"/>
      <protection/>
    </xf>
    <xf numFmtId="1" fontId="13" fillId="2" borderId="2" xfId="0" applyNumberFormat="1" applyFont="1" applyFill="1" applyBorder="1" applyAlignment="1" applyProtection="1">
      <alignment/>
      <protection/>
    </xf>
    <xf numFmtId="1" fontId="13" fillId="2" borderId="0" xfId="0" applyNumberFormat="1" applyFont="1" applyFill="1" applyBorder="1" applyAlignment="1" applyProtection="1">
      <alignment/>
      <protection/>
    </xf>
    <xf numFmtId="1" fontId="14" fillId="2" borderId="7" xfId="0" applyNumberFormat="1" applyFont="1" applyFill="1" applyBorder="1" applyAlignment="1" applyProtection="1">
      <alignment/>
      <protection/>
    </xf>
    <xf numFmtId="1" fontId="14" fillId="2" borderId="2" xfId="0" applyNumberFormat="1" applyFont="1" applyFill="1" applyBorder="1" applyAlignment="1" applyProtection="1">
      <alignment/>
      <protection/>
    </xf>
    <xf numFmtId="1" fontId="14" fillId="2" borderId="0" xfId="0" applyNumberFormat="1" applyFont="1" applyFill="1" applyBorder="1" applyAlignment="1" applyProtection="1">
      <alignment/>
      <protection/>
    </xf>
    <xf numFmtId="17" fontId="12" fillId="2" borderId="22" xfId="0" applyNumberFormat="1" applyFont="1" applyFill="1" applyBorder="1" applyAlignment="1" applyProtection="1">
      <alignment horizontal="right"/>
      <protection/>
    </xf>
    <xf numFmtId="1" fontId="14" fillId="2" borderId="0" xfId="0" applyNumberFormat="1" applyFont="1" applyFill="1" applyBorder="1" applyAlignment="1" applyProtection="1">
      <alignment/>
      <protection locked="0"/>
    </xf>
    <xf numFmtId="1" fontId="13" fillId="2" borderId="0" xfId="0" applyNumberFormat="1" applyFont="1" applyFill="1" applyBorder="1" applyAlignment="1" applyProtection="1">
      <alignment/>
      <protection locked="0"/>
    </xf>
    <xf numFmtId="14" fontId="14" fillId="0" borderId="1" xfId="0" applyNumberFormat="1" applyFont="1" applyBorder="1" applyAlignment="1">
      <alignment/>
    </xf>
    <xf numFmtId="17" fontId="12" fillId="0" borderId="4" xfId="0" applyNumberFormat="1" applyFont="1" applyBorder="1" applyAlignment="1">
      <alignment horizontal="right"/>
    </xf>
    <xf numFmtId="17" fontId="12" fillId="0" borderId="8" xfId="0" applyNumberFormat="1" applyFont="1" applyBorder="1" applyAlignment="1">
      <alignment horizontal="right"/>
    </xf>
    <xf numFmtId="169" fontId="14" fillId="0" borderId="17" xfId="0" applyNumberFormat="1" applyFont="1" applyBorder="1" applyAlignment="1">
      <alignment horizontal="right"/>
    </xf>
    <xf numFmtId="169" fontId="14" fillId="0" borderId="17" xfId="0" applyNumberFormat="1" applyFont="1" applyBorder="1" applyAlignment="1">
      <alignment/>
    </xf>
    <xf numFmtId="169" fontId="14" fillId="0" borderId="8" xfId="0" applyNumberFormat="1" applyFont="1" applyBorder="1" applyAlignment="1">
      <alignment/>
    </xf>
    <xf numFmtId="169" fontId="14" fillId="0" borderId="0" xfId="0" applyNumberFormat="1" applyFont="1" applyBorder="1" applyAlignment="1">
      <alignment/>
    </xf>
    <xf numFmtId="169" fontId="14" fillId="0" borderId="16" xfId="0" applyNumberFormat="1" applyFont="1" applyBorder="1" applyAlignment="1">
      <alignment/>
    </xf>
    <xf numFmtId="169" fontId="14" fillId="0" borderId="7" xfId="0" applyNumberFormat="1" applyFont="1" applyBorder="1" applyAlignment="1">
      <alignment/>
    </xf>
    <xf numFmtId="0" fontId="7" fillId="0" borderId="4" xfId="0" applyFont="1" applyBorder="1" applyAlignment="1">
      <alignment horizontal="left"/>
    </xf>
    <xf numFmtId="167" fontId="0" fillId="0" borderId="0" xfId="0" applyNumberFormat="1" applyBorder="1" applyAlignment="1">
      <alignment/>
    </xf>
    <xf numFmtId="0" fontId="1" fillId="0" borderId="21"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0" fontId="0" fillId="0" borderId="0" xfId="0" applyNumberFormat="1" applyBorder="1" applyAlignment="1">
      <alignment/>
    </xf>
    <xf numFmtId="170" fontId="0" fillId="0" borderId="0" xfId="0" applyNumberFormat="1" applyBorder="1" applyAlignment="1">
      <alignment/>
    </xf>
    <xf numFmtId="0" fontId="1" fillId="0" borderId="2" xfId="0" applyFont="1" applyBorder="1" applyAlignment="1">
      <alignment/>
    </xf>
    <xf numFmtId="0" fontId="7" fillId="0" borderId="0" xfId="0" applyFont="1" applyBorder="1" applyAlignment="1">
      <alignment horizontal="left"/>
    </xf>
    <xf numFmtId="0" fontId="7" fillId="0" borderId="23" xfId="0" applyFont="1" applyBorder="1" applyAlignment="1">
      <alignment horizontal="left"/>
    </xf>
    <xf numFmtId="0" fontId="7" fillId="0" borderId="26" xfId="0" applyFont="1" applyBorder="1" applyAlignment="1">
      <alignment/>
    </xf>
    <xf numFmtId="0" fontId="7" fillId="0" borderId="27" xfId="0" applyFont="1" applyBorder="1" applyAlignment="1">
      <alignment/>
    </xf>
    <xf numFmtId="0" fontId="7" fillId="0" borderId="0" xfId="0" applyFont="1" applyBorder="1" applyAlignment="1">
      <alignment/>
    </xf>
    <xf numFmtId="0" fontId="7" fillId="0" borderId="23" xfId="0" applyFont="1" applyBorder="1" applyAlignment="1">
      <alignment/>
    </xf>
    <xf numFmtId="0" fontId="0" fillId="0" borderId="0" xfId="0" applyBorder="1" applyAlignment="1">
      <alignment/>
    </xf>
    <xf numFmtId="0" fontId="0" fillId="0" borderId="23" xfId="0" applyBorder="1" applyAlignment="1">
      <alignment/>
    </xf>
    <xf numFmtId="0" fontId="1" fillId="0" borderId="4" xfId="0" applyFont="1" applyBorder="1" applyAlignment="1">
      <alignment/>
    </xf>
    <xf numFmtId="0" fontId="0" fillId="0" borderId="4" xfId="0" applyBorder="1" applyAlignment="1">
      <alignment/>
    </xf>
    <xf numFmtId="0" fontId="0" fillId="0" borderId="2" xfId="0" applyBorder="1" applyAlignment="1">
      <alignment/>
    </xf>
    <xf numFmtId="1" fontId="7" fillId="0" borderId="6" xfId="0" applyNumberFormat="1" applyFont="1" applyFill="1" applyBorder="1" applyAlignment="1">
      <alignment horizontal="left"/>
    </xf>
    <xf numFmtId="1" fontId="7" fillId="0" borderId="1" xfId="0" applyNumberFormat="1" applyFont="1" applyFill="1" applyBorder="1" applyAlignment="1">
      <alignment horizontal="left"/>
    </xf>
    <xf numFmtId="1" fontId="7" fillId="0" borderId="2" xfId="0" applyNumberFormat="1" applyFont="1" applyFill="1" applyBorder="1" applyAlignment="1">
      <alignment horizontal="left"/>
    </xf>
    <xf numFmtId="1" fontId="7" fillId="0" borderId="0" xfId="0" applyNumberFormat="1" applyFont="1" applyFill="1" applyBorder="1" applyAlignment="1">
      <alignment horizontal="left"/>
    </xf>
    <xf numFmtId="1" fontId="7" fillId="0" borderId="3" xfId="0" applyNumberFormat="1" applyFont="1" applyFill="1" applyBorder="1" applyAlignment="1">
      <alignment horizontal="left"/>
    </xf>
    <xf numFmtId="1" fontId="7" fillId="0" borderId="4" xfId="0" applyNumberFormat="1" applyFont="1" applyFill="1" applyBorder="1" applyAlignment="1">
      <alignment horizontal="left"/>
    </xf>
    <xf numFmtId="9" fontId="0" fillId="0" borderId="0" xfId="0" applyNumberFormat="1" applyBorder="1" applyAlignment="1">
      <alignment/>
    </xf>
    <xf numFmtId="166" fontId="0" fillId="0" borderId="0" xfId="0" applyNumberFormat="1" applyBorder="1" applyAlignment="1">
      <alignment/>
    </xf>
    <xf numFmtId="9" fontId="0" fillId="0" borderId="7" xfId="0" applyNumberFormat="1" applyBorder="1" applyAlignment="1">
      <alignment/>
    </xf>
    <xf numFmtId="166" fontId="0" fillId="0" borderId="7" xfId="0" applyNumberFormat="1" applyBorder="1" applyAlignment="1">
      <alignment/>
    </xf>
    <xf numFmtId="10" fontId="0" fillId="0" borderId="7" xfId="0" applyNumberFormat="1" applyBorder="1" applyAlignment="1">
      <alignment/>
    </xf>
    <xf numFmtId="0" fontId="7" fillId="0" borderId="6" xfId="0" applyFont="1" applyBorder="1" applyAlignment="1">
      <alignment/>
    </xf>
    <xf numFmtId="0" fontId="7" fillId="0" borderId="1" xfId="0" applyFont="1" applyBorder="1" applyAlignment="1">
      <alignment/>
    </xf>
    <xf numFmtId="0" fontId="7" fillId="0" borderId="5" xfId="0" applyFont="1" applyBorder="1" applyAlignment="1">
      <alignment/>
    </xf>
    <xf numFmtId="0" fontId="7" fillId="0" borderId="2" xfId="0" applyFont="1" applyBorder="1" applyAlignment="1">
      <alignment/>
    </xf>
    <xf numFmtId="0" fontId="7" fillId="0" borderId="7" xfId="0" applyFont="1" applyBorder="1" applyAlignment="1">
      <alignment/>
    </xf>
    <xf numFmtId="14" fontId="7" fillId="0" borderId="3" xfId="0" applyNumberFormat="1" applyFont="1" applyBorder="1" applyAlignment="1">
      <alignment horizontal="left"/>
    </xf>
    <xf numFmtId="0" fontId="7" fillId="0" borderId="8" xfId="0" applyFont="1" applyBorder="1" applyAlignment="1">
      <alignment horizontal="left"/>
    </xf>
    <xf numFmtId="0" fontId="0" fillId="0" borderId="7" xfId="0" applyBorder="1" applyAlignment="1">
      <alignment/>
    </xf>
    <xf numFmtId="0" fontId="1" fillId="0" borderId="3" xfId="0" applyFont="1" applyBorder="1" applyAlignment="1">
      <alignment/>
    </xf>
    <xf numFmtId="173" fontId="12" fillId="0" borderId="18" xfId="0" applyNumberFormat="1" applyFont="1" applyBorder="1" applyAlignment="1">
      <alignment/>
    </xf>
    <xf numFmtId="173" fontId="12" fillId="0" borderId="5" xfId="0" applyNumberFormat="1" applyFont="1" applyBorder="1" applyAlignment="1">
      <alignment/>
    </xf>
    <xf numFmtId="173" fontId="1" fillId="0" borderId="1" xfId="0" applyNumberFormat="1" applyFont="1" applyBorder="1" applyAlignment="1">
      <alignment/>
    </xf>
    <xf numFmtId="173" fontId="1" fillId="0" borderId="1" xfId="0" applyNumberFormat="1" applyFont="1" applyBorder="1" applyAlignment="1">
      <alignment/>
    </xf>
    <xf numFmtId="173" fontId="1" fillId="0" borderId="5" xfId="0" applyNumberFormat="1" applyFont="1" applyBorder="1" applyAlignment="1">
      <alignment/>
    </xf>
    <xf numFmtId="9" fontId="6" fillId="0" borderId="0" xfId="0" applyNumberFormat="1" applyFont="1" applyAlignment="1">
      <alignment/>
    </xf>
    <xf numFmtId="1" fontId="6" fillId="0" borderId="0" xfId="0" applyNumberFormat="1" applyFont="1" applyAlignment="1">
      <alignment/>
    </xf>
    <xf numFmtId="9" fontId="6" fillId="2" borderId="0" xfId="0" applyNumberFormat="1" applyFont="1" applyFill="1" applyAlignment="1" applyProtection="1">
      <alignment/>
      <protection locked="0"/>
    </xf>
    <xf numFmtId="0" fontId="6" fillId="0" borderId="0" xfId="0" applyNumberFormat="1" applyFont="1" applyAlignment="1">
      <alignment/>
    </xf>
    <xf numFmtId="17" fontId="0" fillId="2" borderId="13" xfId="0" applyNumberFormat="1" applyFont="1" applyFill="1" applyBorder="1" applyAlignment="1" applyProtection="1">
      <alignment horizontal="right"/>
      <protection/>
    </xf>
    <xf numFmtId="14" fontId="14" fillId="0" borderId="6" xfId="0" applyNumberFormat="1" applyFont="1" applyBorder="1" applyAlignment="1">
      <alignment/>
    </xf>
    <xf numFmtId="169" fontId="12" fillId="0" borderId="3" xfId="0" applyNumberFormat="1" applyFont="1" applyBorder="1" applyAlignment="1">
      <alignment/>
    </xf>
    <xf numFmtId="169" fontId="14" fillId="0" borderId="2" xfId="0" applyNumberFormat="1" applyFont="1" applyBorder="1" applyAlignment="1">
      <alignment/>
    </xf>
    <xf numFmtId="169" fontId="14" fillId="0" borderId="3" xfId="0" applyNumberFormat="1" applyFont="1" applyBorder="1" applyAlignment="1">
      <alignment/>
    </xf>
    <xf numFmtId="169" fontId="12" fillId="0" borderId="28" xfId="0" applyNumberFormat="1" applyFont="1" applyBorder="1" applyAlignment="1">
      <alignment/>
    </xf>
    <xf numFmtId="169" fontId="12" fillId="0" borderId="14" xfId="0" applyNumberFormat="1" applyFont="1" applyBorder="1" applyAlignment="1">
      <alignment/>
    </xf>
    <xf numFmtId="169" fontId="14" fillId="0" borderId="0" xfId="0" applyNumberFormat="1" applyFont="1" applyAlignment="1">
      <alignment/>
    </xf>
    <xf numFmtId="41" fontId="0" fillId="2" borderId="0" xfId="0" applyNumberFormat="1" applyFill="1" applyAlignment="1" applyProtection="1">
      <alignment/>
      <protection/>
    </xf>
    <xf numFmtId="41" fontId="0" fillId="2" borderId="0" xfId="0" applyNumberFormat="1" applyFill="1" applyBorder="1" applyAlignment="1" applyProtection="1">
      <alignment/>
      <protection/>
    </xf>
    <xf numFmtId="41" fontId="0" fillId="0" borderId="0" xfId="0" applyNumberFormat="1" applyAlignment="1">
      <alignment/>
    </xf>
    <xf numFmtId="41" fontId="14" fillId="0" borderId="0" xfId="0" applyNumberFormat="1" applyFont="1" applyBorder="1" applyAlignment="1">
      <alignment/>
    </xf>
    <xf numFmtId="41" fontId="14" fillId="0" borderId="17" xfId="0" applyNumberFormat="1" applyFont="1" applyBorder="1" applyAlignment="1">
      <alignment/>
    </xf>
    <xf numFmtId="41" fontId="14" fillId="0" borderId="6" xfId="0" applyNumberFormat="1" applyFont="1" applyBorder="1" applyAlignment="1">
      <alignment/>
    </xf>
    <xf numFmtId="41" fontId="14" fillId="0" borderId="3" xfId="0" applyNumberFormat="1" applyFont="1" applyBorder="1" applyAlignment="1">
      <alignment/>
    </xf>
    <xf numFmtId="41" fontId="14" fillId="0" borderId="17" xfId="0" applyNumberFormat="1" applyFont="1" applyBorder="1" applyAlignment="1">
      <alignment horizontal="right"/>
    </xf>
    <xf numFmtId="41" fontId="12" fillId="0" borderId="2" xfId="0" applyNumberFormat="1" applyFont="1" applyBorder="1" applyAlignment="1">
      <alignment/>
    </xf>
    <xf numFmtId="41" fontId="14" fillId="0" borderId="2" xfId="0" applyNumberFormat="1" applyFont="1" applyBorder="1" applyAlignment="1">
      <alignment/>
    </xf>
    <xf numFmtId="41" fontId="12" fillId="0" borderId="3" xfId="0" applyNumberFormat="1" applyFont="1" applyBorder="1" applyAlignment="1">
      <alignment/>
    </xf>
    <xf numFmtId="41" fontId="14" fillId="0" borderId="21" xfId="0" applyNumberFormat="1" applyFont="1" applyBorder="1" applyAlignment="1">
      <alignment/>
    </xf>
    <xf numFmtId="41" fontId="12" fillId="0" borderId="28" xfId="0" applyNumberFormat="1" applyFont="1" applyBorder="1" applyAlignment="1">
      <alignment/>
    </xf>
    <xf numFmtId="41" fontId="14" fillId="0" borderId="0" xfId="0" applyNumberFormat="1" applyFont="1" applyAlignment="1">
      <alignment/>
    </xf>
    <xf numFmtId="1" fontId="14" fillId="2" borderId="8" xfId="0" applyNumberFormat="1" applyFont="1" applyFill="1" applyBorder="1" applyAlignment="1" applyProtection="1">
      <alignment/>
      <protection/>
    </xf>
    <xf numFmtId="1" fontId="14" fillId="2" borderId="22" xfId="0" applyNumberFormat="1" applyFont="1" applyFill="1" applyBorder="1" applyAlignment="1" applyProtection="1">
      <alignment/>
      <protection/>
    </xf>
    <xf numFmtId="1" fontId="14" fillId="2" borderId="29" xfId="0" applyNumberFormat="1" applyFont="1" applyFill="1" applyBorder="1" applyAlignment="1" applyProtection="1">
      <alignment/>
      <protection/>
    </xf>
    <xf numFmtId="1" fontId="14" fillId="2" borderId="3" xfId="0" applyNumberFormat="1" applyFont="1" applyFill="1" applyBorder="1" applyAlignment="1" applyProtection="1">
      <alignment/>
      <protection/>
    </xf>
    <xf numFmtId="1" fontId="14" fillId="2" borderId="4" xfId="0" applyNumberFormat="1" applyFont="1" applyFill="1" applyBorder="1" applyAlignment="1" applyProtection="1">
      <alignment/>
      <protection/>
    </xf>
    <xf numFmtId="1" fontId="14" fillId="2" borderId="21" xfId="0" applyNumberFormat="1" applyFont="1" applyFill="1" applyBorder="1" applyAlignment="1" applyProtection="1">
      <alignment/>
      <protection/>
    </xf>
    <xf numFmtId="1" fontId="14" fillId="2" borderId="13" xfId="0" applyNumberFormat="1" applyFont="1" applyFill="1" applyBorder="1" applyAlignment="1" applyProtection="1">
      <alignment/>
      <protection/>
    </xf>
    <xf numFmtId="1" fontId="14" fillId="2" borderId="15"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1" fontId="0" fillId="2" borderId="0" xfId="0" applyNumberFormat="1" applyFill="1" applyBorder="1" applyAlignment="1" applyProtection="1">
      <alignment horizontal="right"/>
      <protection/>
    </xf>
    <xf numFmtId="1" fontId="0" fillId="2" borderId="13" xfId="0" applyNumberFormat="1" applyFill="1" applyBorder="1" applyAlignment="1" applyProtection="1">
      <alignment/>
      <protection/>
    </xf>
    <xf numFmtId="1" fontId="0" fillId="2" borderId="11" xfId="0" applyNumberFormat="1" applyFill="1" applyBorder="1" applyAlignment="1" applyProtection="1">
      <alignment/>
      <protection/>
    </xf>
    <xf numFmtId="1" fontId="14" fillId="2" borderId="7" xfId="0" applyNumberFormat="1" applyFont="1" applyFill="1" applyBorder="1" applyAlignment="1" applyProtection="1">
      <alignment/>
      <protection locked="0"/>
    </xf>
    <xf numFmtId="1" fontId="14" fillId="2" borderId="1" xfId="0" applyNumberFormat="1" applyFont="1" applyFill="1" applyBorder="1" applyAlignment="1" applyProtection="1">
      <alignment/>
      <protection/>
    </xf>
    <xf numFmtId="1" fontId="14" fillId="2" borderId="5" xfId="0" applyNumberFormat="1" applyFont="1" applyFill="1" applyBorder="1" applyAlignment="1" applyProtection="1">
      <alignment/>
      <protection/>
    </xf>
    <xf numFmtId="1" fontId="12" fillId="2" borderId="13" xfId="0" applyNumberFormat="1" applyFont="1" applyFill="1" applyBorder="1" applyAlignment="1" applyProtection="1">
      <alignment/>
      <protection/>
    </xf>
    <xf numFmtId="1" fontId="12" fillId="2" borderId="22" xfId="0" applyNumberFormat="1" applyFont="1" applyFill="1" applyBorder="1" applyAlignment="1" applyProtection="1">
      <alignment/>
      <protection/>
    </xf>
    <xf numFmtId="1" fontId="0" fillId="0" borderId="8" xfId="0" applyNumberFormat="1" applyBorder="1" applyAlignment="1">
      <alignment/>
    </xf>
    <xf numFmtId="1" fontId="0" fillId="0" borderId="7" xfId="0" applyNumberFormat="1" applyBorder="1" applyAlignment="1">
      <alignment/>
    </xf>
    <xf numFmtId="1" fontId="0" fillId="0" borderId="22" xfId="0" applyNumberFormat="1" applyBorder="1" applyAlignment="1">
      <alignment/>
    </xf>
    <xf numFmtId="1" fontId="0" fillId="0" borderId="15" xfId="0" applyNumberFormat="1" applyBorder="1" applyAlignment="1">
      <alignment/>
    </xf>
    <xf numFmtId="1" fontId="0" fillId="0" borderId="29" xfId="0" applyNumberFormat="1" applyBorder="1" applyAlignment="1">
      <alignment/>
    </xf>
    <xf numFmtId="1" fontId="1" fillId="0" borderId="13" xfId="0" applyNumberFormat="1" applyFont="1" applyBorder="1" applyAlignment="1">
      <alignment/>
    </xf>
    <xf numFmtId="1" fontId="1" fillId="0" borderId="22" xfId="0" applyNumberFormat="1" applyFont="1" applyBorder="1" applyAlignment="1">
      <alignment/>
    </xf>
    <xf numFmtId="1" fontId="1" fillId="0" borderId="15" xfId="0" applyNumberFormat="1" applyFont="1" applyBorder="1" applyAlignment="1">
      <alignment/>
    </xf>
    <xf numFmtId="1" fontId="1" fillId="0" borderId="29" xfId="0" applyNumberFormat="1" applyFont="1" applyBorder="1" applyAlignment="1">
      <alignment/>
    </xf>
    <xf numFmtId="174" fontId="0" fillId="0" borderId="7" xfId="0" applyNumberFormat="1" applyBorder="1" applyAlignment="1">
      <alignment/>
    </xf>
    <xf numFmtId="174" fontId="0" fillId="0" borderId="8" xfId="0" applyNumberFormat="1" applyBorder="1" applyAlignment="1">
      <alignment/>
    </xf>
    <xf numFmtId="174" fontId="0" fillId="0" borderId="22" xfId="0" applyNumberFormat="1" applyBorder="1" applyAlignment="1">
      <alignment/>
    </xf>
    <xf numFmtId="174" fontId="0" fillId="0" borderId="29" xfId="0" applyNumberFormat="1" applyBorder="1" applyAlignment="1">
      <alignment/>
    </xf>
    <xf numFmtId="1" fontId="0" fillId="2" borderId="7" xfId="0" applyNumberFormat="1" applyFill="1" applyBorder="1" applyAlignment="1" applyProtection="1">
      <alignment/>
      <protection/>
    </xf>
    <xf numFmtId="1" fontId="1" fillId="0" borderId="0" xfId="0" applyNumberFormat="1" applyFont="1" applyBorder="1" applyAlignment="1">
      <alignment/>
    </xf>
    <xf numFmtId="1" fontId="5" fillId="0" borderId="0" xfId="0" applyNumberFormat="1" applyFont="1" applyBorder="1" applyAlignment="1">
      <alignment/>
    </xf>
    <xf numFmtId="174" fontId="0" fillId="0" borderId="0" xfId="0" applyNumberFormat="1" applyBorder="1" applyAlignment="1">
      <alignment/>
    </xf>
    <xf numFmtId="174" fontId="1" fillId="0" borderId="0" xfId="0" applyNumberFormat="1" applyFont="1" applyBorder="1" applyAlignment="1">
      <alignment/>
    </xf>
    <xf numFmtId="174" fontId="5" fillId="0" borderId="0" xfId="0" applyNumberFormat="1" applyFont="1" applyBorder="1" applyAlignment="1">
      <alignment/>
    </xf>
    <xf numFmtId="174" fontId="0" fillId="0" borderId="0" xfId="0" applyNumberFormat="1" applyBorder="1" applyAlignment="1">
      <alignment horizontal="right"/>
    </xf>
    <xf numFmtId="174" fontId="14" fillId="0" borderId="0" xfId="0" applyNumberFormat="1" applyFont="1" applyBorder="1" applyAlignment="1">
      <alignment/>
    </xf>
    <xf numFmtId="174" fontId="14" fillId="0" borderId="16" xfId="0" applyNumberFormat="1" applyFont="1" applyBorder="1" applyAlignment="1">
      <alignment/>
    </xf>
    <xf numFmtId="174" fontId="14" fillId="0" borderId="7" xfId="0" applyNumberFormat="1" applyFont="1" applyBorder="1" applyAlignment="1">
      <alignment/>
    </xf>
    <xf numFmtId="174" fontId="14" fillId="0" borderId="4" xfId="0" applyNumberFormat="1" applyFont="1" applyBorder="1" applyAlignment="1">
      <alignment/>
    </xf>
    <xf numFmtId="174" fontId="14" fillId="0" borderId="17" xfId="0" applyNumberFormat="1" applyFont="1" applyBorder="1" applyAlignment="1">
      <alignment/>
    </xf>
    <xf numFmtId="174" fontId="14" fillId="0" borderId="8" xfId="0" applyNumberFormat="1" applyFont="1" applyBorder="1" applyAlignment="1">
      <alignment/>
    </xf>
    <xf numFmtId="174" fontId="14" fillId="0" borderId="15" xfId="0" applyNumberFormat="1" applyFont="1" applyBorder="1" applyAlignment="1">
      <alignment/>
    </xf>
    <xf numFmtId="174" fontId="14" fillId="0" borderId="20" xfId="0" applyNumberFormat="1" applyFont="1" applyBorder="1" applyAlignment="1">
      <alignment/>
    </xf>
    <xf numFmtId="174" fontId="14" fillId="0" borderId="29" xfId="0" applyNumberFormat="1" applyFont="1" applyBorder="1" applyAlignment="1">
      <alignment/>
    </xf>
    <xf numFmtId="174" fontId="14" fillId="0" borderId="11" xfId="0" applyNumberFormat="1" applyFont="1" applyBorder="1" applyAlignment="1">
      <alignment/>
    </xf>
    <xf numFmtId="174" fontId="14" fillId="0" borderId="30" xfId="0" applyNumberFormat="1" applyFont="1" applyBorder="1" applyAlignment="1">
      <alignment/>
    </xf>
    <xf numFmtId="174" fontId="14" fillId="0" borderId="12" xfId="0" applyNumberFormat="1" applyFont="1" applyBorder="1" applyAlignment="1">
      <alignment/>
    </xf>
    <xf numFmtId="174" fontId="14" fillId="0" borderId="13" xfId="0" applyNumberFormat="1" applyFont="1" applyBorder="1" applyAlignment="1">
      <alignment/>
    </xf>
    <xf numFmtId="174" fontId="14" fillId="0" borderId="19" xfId="0" applyNumberFormat="1" applyFont="1" applyBorder="1" applyAlignment="1">
      <alignment/>
    </xf>
    <xf numFmtId="174" fontId="12" fillId="0" borderId="15" xfId="0" applyNumberFormat="1" applyFont="1" applyBorder="1" applyAlignment="1">
      <alignment/>
    </xf>
    <xf numFmtId="174" fontId="12" fillId="0" borderId="20" xfId="0" applyNumberFormat="1" applyFont="1" applyBorder="1" applyAlignment="1">
      <alignment/>
    </xf>
    <xf numFmtId="174" fontId="0" fillId="0" borderId="4" xfId="0" applyNumberFormat="1" applyBorder="1" applyAlignment="1">
      <alignment/>
    </xf>
    <xf numFmtId="174" fontId="1" fillId="0" borderId="11" xfId="0" applyNumberFormat="1" applyFont="1" applyBorder="1" applyAlignment="1">
      <alignment/>
    </xf>
    <xf numFmtId="174" fontId="1" fillId="0" borderId="12" xfId="0" applyNumberFormat="1" applyFont="1" applyBorder="1" applyAlignment="1">
      <alignment/>
    </xf>
    <xf numFmtId="174" fontId="0" fillId="0" borderId="0" xfId="0" applyNumberFormat="1" applyAlignment="1">
      <alignment/>
    </xf>
    <xf numFmtId="174" fontId="0" fillId="0" borderId="11" xfId="0" applyNumberFormat="1" applyBorder="1" applyAlignment="1">
      <alignment/>
    </xf>
    <xf numFmtId="174" fontId="0" fillId="0" borderId="12" xfId="0" applyNumberFormat="1" applyBorder="1" applyAlignment="1">
      <alignment/>
    </xf>
    <xf numFmtId="174" fontId="0" fillId="0" borderId="13" xfId="0" applyNumberFormat="1" applyBorder="1" applyAlignment="1">
      <alignment/>
    </xf>
    <xf numFmtId="174" fontId="1" fillId="0" borderId="15" xfId="0" applyNumberFormat="1" applyFont="1" applyBorder="1" applyAlignment="1">
      <alignment/>
    </xf>
    <xf numFmtId="174" fontId="1" fillId="0" borderId="29" xfId="0" applyNumberFormat="1" applyFont="1" applyBorder="1" applyAlignment="1">
      <alignment/>
    </xf>
    <xf numFmtId="174" fontId="0" fillId="0" borderId="0" xfId="0" applyNumberFormat="1" applyBorder="1" applyAlignment="1" applyProtection="1">
      <alignment/>
      <protection locked="0"/>
    </xf>
    <xf numFmtId="174" fontId="0" fillId="0" borderId="7" xfId="0" applyNumberFormat="1" applyBorder="1" applyAlignment="1" applyProtection="1">
      <alignment/>
      <protection locked="0"/>
    </xf>
    <xf numFmtId="174" fontId="0" fillId="0" borderId="4" xfId="0" applyNumberFormat="1" applyBorder="1" applyAlignment="1" applyProtection="1">
      <alignment/>
      <protection locked="0"/>
    </xf>
    <xf numFmtId="174" fontId="0" fillId="0" borderId="8" xfId="0" applyNumberFormat="1" applyBorder="1" applyAlignment="1" applyProtection="1">
      <alignment/>
      <protection locked="0"/>
    </xf>
    <xf numFmtId="174" fontId="0" fillId="0" borderId="0" xfId="0" applyNumberFormat="1" applyFont="1" applyBorder="1" applyAlignment="1" applyProtection="1">
      <alignment/>
      <protection locked="0"/>
    </xf>
    <xf numFmtId="174" fontId="0" fillId="0" borderId="7" xfId="15" applyNumberFormat="1" applyBorder="1" applyAlignment="1" applyProtection="1">
      <alignment/>
      <protection locked="0"/>
    </xf>
    <xf numFmtId="174" fontId="0" fillId="0" borderId="4" xfId="0" applyNumberFormat="1" applyFont="1" applyBorder="1" applyAlignment="1" applyProtection="1">
      <alignment/>
      <protection locked="0"/>
    </xf>
    <xf numFmtId="174" fontId="1" fillId="0" borderId="0" xfId="0" applyNumberFormat="1" applyFont="1" applyBorder="1" applyAlignment="1" applyProtection="1">
      <alignment/>
      <protection locked="0"/>
    </xf>
    <xf numFmtId="174" fontId="0" fillId="0" borderId="0" xfId="0" applyNumberFormat="1" applyAlignment="1" applyProtection="1">
      <alignment/>
      <protection locked="0"/>
    </xf>
    <xf numFmtId="174" fontId="5" fillId="0" borderId="0" xfId="0" applyNumberFormat="1" applyFont="1" applyBorder="1" applyAlignment="1" applyProtection="1">
      <alignment/>
      <protection locked="0"/>
    </xf>
    <xf numFmtId="174" fontId="0" fillId="0" borderId="22" xfId="0" applyNumberFormat="1" applyBorder="1" applyAlignment="1" applyProtection="1">
      <alignment/>
      <protection locked="0"/>
    </xf>
    <xf numFmtId="174" fontId="0" fillId="0" borderId="11" xfId="0" applyNumberFormat="1" applyBorder="1" applyAlignment="1" applyProtection="1">
      <alignment/>
      <protection locked="0"/>
    </xf>
    <xf numFmtId="174" fontId="0" fillId="0" borderId="12" xfId="0" applyNumberFormat="1" applyBorder="1" applyAlignment="1" applyProtection="1">
      <alignment/>
      <protection locked="0"/>
    </xf>
    <xf numFmtId="174" fontId="0" fillId="2" borderId="0" xfId="0" applyNumberFormat="1" applyFill="1" applyBorder="1" applyAlignment="1" applyProtection="1">
      <alignment/>
      <protection/>
    </xf>
    <xf numFmtId="174" fontId="0" fillId="2" borderId="0" xfId="0" applyNumberFormat="1" applyFill="1" applyBorder="1" applyAlignment="1">
      <alignment/>
    </xf>
    <xf numFmtId="174" fontId="0" fillId="2" borderId="4" xfId="0" applyNumberFormat="1" applyFill="1" applyBorder="1" applyAlignment="1">
      <alignment/>
    </xf>
    <xf numFmtId="174" fontId="0" fillId="2" borderId="0" xfId="15" applyNumberFormat="1" applyFill="1" applyBorder="1" applyAlignment="1">
      <alignment/>
    </xf>
    <xf numFmtId="174" fontId="1" fillId="2" borderId="0" xfId="0" applyNumberFormat="1" applyFont="1" applyFill="1" applyBorder="1" applyAlignment="1">
      <alignment/>
    </xf>
    <xf numFmtId="174" fontId="0" fillId="2" borderId="0" xfId="0" applyNumberFormat="1" applyFill="1" applyAlignment="1">
      <alignment/>
    </xf>
    <xf numFmtId="174" fontId="1" fillId="2" borderId="0" xfId="0" applyNumberFormat="1" applyFont="1" applyFill="1" applyBorder="1" applyAlignment="1" applyProtection="1">
      <alignment/>
      <protection/>
    </xf>
    <xf numFmtId="174" fontId="0" fillId="2" borderId="0" xfId="0" applyNumberFormat="1" applyFill="1" applyBorder="1" applyAlignment="1">
      <alignment horizontal="right"/>
    </xf>
    <xf numFmtId="174" fontId="5" fillId="2" borderId="0" xfId="0" applyNumberFormat="1" applyFont="1" applyFill="1" applyBorder="1" applyAlignment="1">
      <alignment/>
    </xf>
    <xf numFmtId="174" fontId="0" fillId="2" borderId="13" xfId="0" applyNumberFormat="1" applyFill="1" applyBorder="1" applyAlignment="1">
      <alignment/>
    </xf>
    <xf numFmtId="174" fontId="0" fillId="2" borderId="11" xfId="0" applyNumberFormat="1" applyFill="1" applyBorder="1" applyAlignment="1">
      <alignment/>
    </xf>
    <xf numFmtId="9" fontId="0" fillId="0" borderId="22" xfId="0" applyNumberFormat="1" applyBorder="1" applyAlignment="1">
      <alignment/>
    </xf>
    <xf numFmtId="14" fontId="7" fillId="0" borderId="8" xfId="0" applyNumberFormat="1" applyFont="1" applyFill="1" applyBorder="1" applyAlignment="1" applyProtection="1">
      <alignment horizontal="center"/>
      <protection locked="0"/>
    </xf>
    <xf numFmtId="0" fontId="7" fillId="0" borderId="0" xfId="0" applyFont="1" applyAlignment="1">
      <alignment/>
    </xf>
    <xf numFmtId="14" fontId="7" fillId="0" borderId="4" xfId="0" applyNumberFormat="1" applyFont="1" applyBorder="1" applyAlignment="1">
      <alignment horizontal="left"/>
    </xf>
    <xf numFmtId="0" fontId="7" fillId="0" borderId="4" xfId="0" applyFont="1" applyBorder="1" applyAlignment="1">
      <alignment horizontal="left"/>
    </xf>
    <xf numFmtId="14" fontId="7" fillId="0" borderId="6" xfId="0" applyNumberFormat="1" applyFont="1" applyFill="1" applyBorder="1" applyAlignment="1">
      <alignment horizontal="center"/>
    </xf>
    <xf numFmtId="14" fontId="7" fillId="0" borderId="1" xfId="0" applyNumberFormat="1" applyFont="1" applyFill="1" applyBorder="1" applyAlignment="1">
      <alignment horizontal="center"/>
    </xf>
    <xf numFmtId="14"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0" xfId="0" applyFont="1" applyFill="1" applyBorder="1" applyAlignment="1">
      <alignment horizontal="center"/>
    </xf>
    <xf numFmtId="0" fontId="7" fillId="0" borderId="7" xfId="0" applyFont="1" applyFill="1" applyBorder="1" applyAlignment="1">
      <alignment horizontal="center"/>
    </xf>
    <xf numFmtId="14" fontId="7" fillId="0" borderId="3" xfId="0" applyNumberFormat="1" applyFont="1" applyFill="1" applyBorder="1" applyAlignment="1">
      <alignment horizontal="center"/>
    </xf>
    <xf numFmtId="14" fontId="7" fillId="0" borderId="4" xfId="0" applyNumberFormat="1" applyFont="1" applyFill="1" applyBorder="1" applyAlignment="1">
      <alignment horizontal="center"/>
    </xf>
    <xf numFmtId="14" fontId="7" fillId="0" borderId="8" xfId="0" applyNumberFormat="1" applyFont="1" applyFill="1" applyBorder="1" applyAlignment="1">
      <alignment horizontal="center"/>
    </xf>
    <xf numFmtId="1" fontId="7" fillId="0" borderId="2"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7"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0" xfId="0" applyNumberFormat="1" applyFont="1" applyFill="1" applyBorder="1" applyAlignment="1">
      <alignment horizontal="center"/>
    </xf>
    <xf numFmtId="168" fontId="7" fillId="0" borderId="7" xfId="0" applyNumberFormat="1" applyFont="1" applyFill="1" applyBorder="1" applyAlignment="1">
      <alignment horizontal="center"/>
    </xf>
    <xf numFmtId="14" fontId="7" fillId="0" borderId="6" xfId="0" applyNumberFormat="1" applyFont="1" applyFill="1" applyBorder="1" applyAlignment="1" applyProtection="1">
      <alignment horizontal="center"/>
      <protection locked="0"/>
    </xf>
    <xf numFmtId="14" fontId="7" fillId="0" borderId="1" xfId="0" applyNumberFormat="1" applyFont="1" applyFill="1" applyBorder="1" applyAlignment="1" applyProtection="1">
      <alignment horizontal="center"/>
      <protection locked="0"/>
    </xf>
    <xf numFmtId="14" fontId="7" fillId="0" borderId="5" xfId="0" applyNumberFormat="1" applyFont="1" applyFill="1" applyBorder="1" applyAlignment="1" applyProtection="1">
      <alignment horizontal="center"/>
      <protection locked="0"/>
    </xf>
    <xf numFmtId="14" fontId="7" fillId="0" borderId="2" xfId="0" applyNumberFormat="1" applyFont="1" applyFill="1" applyBorder="1" applyAlignment="1" applyProtection="1">
      <alignment horizontal="center"/>
      <protection locked="0"/>
    </xf>
    <xf numFmtId="14" fontId="7" fillId="0" borderId="0" xfId="0" applyNumberFormat="1" applyFont="1" applyFill="1" applyBorder="1" applyAlignment="1" applyProtection="1">
      <alignment horizontal="center"/>
      <protection locked="0"/>
    </xf>
    <xf numFmtId="14" fontId="7" fillId="0" borderId="7" xfId="0" applyNumberFormat="1" applyFont="1" applyFill="1" applyBorder="1" applyAlignment="1" applyProtection="1">
      <alignment horizontal="center"/>
      <protection locked="0"/>
    </xf>
    <xf numFmtId="14" fontId="7" fillId="0" borderId="3" xfId="0" applyNumberFormat="1" applyFont="1" applyFill="1" applyBorder="1" applyAlignment="1" applyProtection="1">
      <alignment horizontal="center"/>
      <protection locked="0"/>
    </xf>
    <xf numFmtId="14" fontId="7" fillId="0" borderId="4" xfId="0" applyNumberFormat="1" applyFont="1" applyFill="1" applyBorder="1" applyAlignment="1" applyProtection="1">
      <alignment horizontal="center"/>
      <protection locked="0"/>
    </xf>
    <xf numFmtId="14" fontId="7" fillId="0" borderId="2" xfId="0" applyNumberFormat="1" applyFont="1" applyFill="1" applyBorder="1" applyAlignment="1">
      <alignment horizontal="center"/>
    </xf>
    <xf numFmtId="14" fontId="7" fillId="0" borderId="0" xfId="0" applyNumberFormat="1" applyFont="1" applyFill="1" applyBorder="1" applyAlignment="1">
      <alignment horizontal="center"/>
    </xf>
    <xf numFmtId="14" fontId="7" fillId="0" borderId="7" xfId="0" applyNumberFormat="1" applyFont="1" applyFill="1" applyBorder="1" applyAlignment="1">
      <alignment horizontal="center"/>
    </xf>
    <xf numFmtId="14" fontId="7" fillId="0" borderId="0" xfId="0" applyNumberFormat="1" applyFont="1" applyFill="1" applyAlignment="1">
      <alignment horizontal="center"/>
    </xf>
    <xf numFmtId="14" fontId="14" fillId="0" borderId="1" xfId="0" applyNumberFormat="1" applyFont="1" applyBorder="1" applyAlignment="1">
      <alignment horizontal="center"/>
    </xf>
    <xf numFmtId="169" fontId="7" fillId="0" borderId="6" xfId="0" applyNumberFormat="1" applyFont="1" applyFill="1" applyBorder="1" applyAlignment="1">
      <alignment horizontal="center"/>
    </xf>
    <xf numFmtId="169" fontId="7" fillId="0" borderId="1" xfId="0" applyNumberFormat="1" applyFont="1" applyFill="1" applyBorder="1" applyAlignment="1">
      <alignment horizontal="center"/>
    </xf>
    <xf numFmtId="169" fontId="7" fillId="0" borderId="5" xfId="0" applyNumberFormat="1" applyFont="1" applyFill="1" applyBorder="1" applyAlignment="1">
      <alignment horizontal="center"/>
    </xf>
    <xf numFmtId="169" fontId="7" fillId="0" borderId="2" xfId="0" applyNumberFormat="1" applyFont="1" applyFill="1" applyBorder="1" applyAlignment="1">
      <alignment horizontal="center"/>
    </xf>
    <xf numFmtId="169" fontId="7" fillId="0" borderId="0" xfId="0" applyNumberFormat="1" applyFont="1" applyFill="1" applyBorder="1" applyAlignment="1">
      <alignment horizontal="center"/>
    </xf>
    <xf numFmtId="169" fontId="7" fillId="0" borderId="7" xfId="0" applyNumberFormat="1" applyFont="1" applyFill="1" applyBorder="1" applyAlignment="1">
      <alignment horizontal="center"/>
    </xf>
    <xf numFmtId="169" fontId="7" fillId="0" borderId="3" xfId="0" applyNumberFormat="1" applyFont="1" applyFill="1" applyBorder="1" applyAlignment="1">
      <alignment horizontal="center"/>
    </xf>
    <xf numFmtId="169" fontId="7" fillId="0" borderId="4" xfId="0" applyNumberFormat="1" applyFont="1" applyFill="1" applyBorder="1" applyAlignment="1">
      <alignment horizontal="center"/>
    </xf>
    <xf numFmtId="169" fontId="7" fillId="0" borderId="8" xfId="0" applyNumberFormat="1" applyFont="1" applyFill="1" applyBorder="1" applyAlignment="1">
      <alignment horizontal="center"/>
    </xf>
    <xf numFmtId="41" fontId="14" fillId="0" borderId="0" xfId="0" applyNumberFormat="1" applyFont="1" applyBorder="1" applyAlignment="1">
      <alignment horizontal="left"/>
    </xf>
    <xf numFmtId="1" fontId="7" fillId="0" borderId="6" xfId="0" applyNumberFormat="1" applyFont="1" applyFill="1" applyBorder="1" applyAlignment="1">
      <alignment horizontal="center"/>
    </xf>
    <xf numFmtId="1" fontId="7" fillId="0" borderId="1" xfId="0" applyNumberFormat="1" applyFont="1" applyFill="1" applyBorder="1" applyAlignment="1">
      <alignment horizontal="center"/>
    </xf>
    <xf numFmtId="1" fontId="7" fillId="0" borderId="5" xfId="0" applyNumberFormat="1" applyFont="1" applyFill="1" applyBorder="1" applyAlignment="1">
      <alignment horizontal="center"/>
    </xf>
    <xf numFmtId="1" fontId="7" fillId="0" borderId="3" xfId="0" applyNumberFormat="1" applyFont="1" applyFill="1" applyBorder="1" applyAlignment="1">
      <alignment horizontal="center"/>
    </xf>
    <xf numFmtId="1" fontId="7" fillId="0" borderId="4" xfId="0" applyNumberFormat="1" applyFont="1" applyFill="1" applyBorder="1" applyAlignment="1">
      <alignment horizontal="center"/>
    </xf>
    <xf numFmtId="1" fontId="7" fillId="0" borderId="8"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92"/>
  <sheetViews>
    <sheetView workbookViewId="0" topLeftCell="A1">
      <selection activeCell="A1" sqref="A1"/>
    </sheetView>
  </sheetViews>
  <sheetFormatPr defaultColWidth="9.140625" defaultRowHeight="12.75"/>
  <cols>
    <col min="1" max="1" width="106.421875" style="0" bestFit="1" customWidth="1"/>
    <col min="11" max="11" width="9.7109375" style="0" customWidth="1"/>
  </cols>
  <sheetData>
    <row r="1" ht="15.75">
      <c r="A1" s="188" t="s">
        <v>271</v>
      </c>
    </row>
    <row r="2" ht="15.75">
      <c r="A2" s="188" t="s">
        <v>272</v>
      </c>
    </row>
    <row r="3" s="208" customFormat="1" ht="15.75">
      <c r="A3" s="188" t="s">
        <v>189</v>
      </c>
    </row>
    <row r="4" spans="1:12" ht="12.75">
      <c r="A4" s="207"/>
      <c r="B4" s="207"/>
      <c r="C4" s="207"/>
      <c r="D4" s="207"/>
      <c r="E4" s="207"/>
      <c r="F4" s="207"/>
      <c r="G4" s="207"/>
      <c r="H4" s="207"/>
      <c r="I4" s="207"/>
      <c r="J4" s="207"/>
      <c r="K4" s="207"/>
      <c r="L4" s="207"/>
    </row>
    <row r="5" spans="1:12" ht="15">
      <c r="A5" s="208" t="s">
        <v>204</v>
      </c>
      <c r="B5" s="207"/>
      <c r="C5" s="207"/>
      <c r="D5" s="207"/>
      <c r="E5" s="207"/>
      <c r="F5" s="207"/>
      <c r="G5" s="207"/>
      <c r="H5" s="207"/>
      <c r="I5" s="207"/>
      <c r="J5" s="207"/>
      <c r="K5" s="207"/>
      <c r="L5" s="207"/>
    </row>
    <row r="6" spans="1:12" ht="15">
      <c r="A6" s="208" t="s">
        <v>205</v>
      </c>
      <c r="B6" s="207"/>
      <c r="C6" s="207"/>
      <c r="D6" s="207"/>
      <c r="E6" s="207"/>
      <c r="F6" s="207"/>
      <c r="G6" s="207"/>
      <c r="H6" s="207"/>
      <c r="I6" s="207"/>
      <c r="J6" s="207"/>
      <c r="K6" s="207"/>
      <c r="L6" s="207"/>
    </row>
    <row r="7" spans="1:12" ht="15">
      <c r="A7" s="208" t="s">
        <v>206</v>
      </c>
      <c r="B7" s="207"/>
      <c r="C7" s="207"/>
      <c r="D7" s="207"/>
      <c r="E7" s="207"/>
      <c r="F7" s="207"/>
      <c r="G7" s="207"/>
      <c r="H7" s="207"/>
      <c r="I7" s="207"/>
      <c r="J7" s="207"/>
      <c r="K7" s="207"/>
      <c r="L7" s="207"/>
    </row>
    <row r="8" spans="1:12" ht="15">
      <c r="A8" s="208" t="s">
        <v>207</v>
      </c>
      <c r="B8" s="207"/>
      <c r="C8" s="207"/>
      <c r="D8" s="207"/>
      <c r="E8" s="207"/>
      <c r="F8" s="207"/>
      <c r="G8" s="207"/>
      <c r="H8" s="207"/>
      <c r="I8" s="207"/>
      <c r="J8" s="207"/>
      <c r="K8" s="207"/>
      <c r="L8" s="207"/>
    </row>
    <row r="9" spans="1:12" ht="15">
      <c r="A9" s="208" t="s">
        <v>208</v>
      </c>
      <c r="B9" s="207"/>
      <c r="C9" s="207"/>
      <c r="D9" s="207"/>
      <c r="E9" s="207"/>
      <c r="F9" s="207"/>
      <c r="G9" s="207"/>
      <c r="H9" s="207"/>
      <c r="I9" s="207"/>
      <c r="J9" s="207"/>
      <c r="K9" s="207"/>
      <c r="L9" s="207"/>
    </row>
    <row r="10" spans="1:12" ht="15">
      <c r="A10" s="208" t="s">
        <v>209</v>
      </c>
      <c r="B10" s="207"/>
      <c r="C10" s="207"/>
      <c r="D10" s="207"/>
      <c r="E10" s="207"/>
      <c r="F10" s="207"/>
      <c r="G10" s="207"/>
      <c r="H10" s="207"/>
      <c r="I10" s="207"/>
      <c r="J10" s="207"/>
      <c r="K10" s="207"/>
      <c r="L10" s="207"/>
    </row>
    <row r="11" spans="1:12" ht="15">
      <c r="A11" s="208" t="s">
        <v>210</v>
      </c>
      <c r="B11" s="207"/>
      <c r="C11" s="207"/>
      <c r="D11" s="207"/>
      <c r="E11" s="207"/>
      <c r="F11" s="207"/>
      <c r="G11" s="207"/>
      <c r="H11" s="207"/>
      <c r="I11" s="207"/>
      <c r="J11" s="207"/>
      <c r="K11" s="207"/>
      <c r="L11" s="207"/>
    </row>
    <row r="12" spans="1:12" ht="15">
      <c r="A12" s="208"/>
      <c r="B12" s="207"/>
      <c r="C12" s="207"/>
      <c r="D12" s="207"/>
      <c r="E12" s="207"/>
      <c r="F12" s="207"/>
      <c r="G12" s="207"/>
      <c r="H12" s="207"/>
      <c r="I12" s="207"/>
      <c r="J12" s="207"/>
      <c r="K12" s="207"/>
      <c r="L12" s="207"/>
    </row>
    <row r="13" spans="1:12" ht="15">
      <c r="A13" s="208" t="s">
        <v>211</v>
      </c>
      <c r="B13" s="207"/>
      <c r="C13" s="207"/>
      <c r="D13" s="207"/>
      <c r="E13" s="207"/>
      <c r="F13" s="207"/>
      <c r="G13" s="207"/>
      <c r="H13" s="207"/>
      <c r="I13" s="207"/>
      <c r="J13" s="207"/>
      <c r="K13" s="207"/>
      <c r="L13" s="207"/>
    </row>
    <row r="14" spans="1:12" ht="15">
      <c r="A14" s="208" t="s">
        <v>324</v>
      </c>
      <c r="B14" s="207"/>
      <c r="C14" s="207"/>
      <c r="D14" s="207"/>
      <c r="E14" s="207"/>
      <c r="F14" s="207"/>
      <c r="G14" s="207"/>
      <c r="H14" s="207"/>
      <c r="I14" s="207"/>
      <c r="J14" s="207"/>
      <c r="K14" s="207"/>
      <c r="L14" s="207"/>
    </row>
    <row r="15" spans="1:12" ht="15">
      <c r="A15" s="208" t="s">
        <v>212</v>
      </c>
      <c r="B15" s="207"/>
      <c r="C15" s="207"/>
      <c r="D15" s="207"/>
      <c r="E15" s="207"/>
      <c r="F15" s="207"/>
      <c r="G15" s="207"/>
      <c r="H15" s="207"/>
      <c r="I15" s="207"/>
      <c r="J15" s="207"/>
      <c r="K15" s="207"/>
      <c r="L15" s="207"/>
    </row>
    <row r="16" spans="1:12" ht="15">
      <c r="A16" s="208" t="s">
        <v>213</v>
      </c>
      <c r="B16" s="207"/>
      <c r="C16" s="207"/>
      <c r="D16" s="207"/>
      <c r="E16" s="207"/>
      <c r="F16" s="207"/>
      <c r="G16" s="207"/>
      <c r="H16" s="207"/>
      <c r="I16" s="207"/>
      <c r="J16" s="207"/>
      <c r="K16" s="207"/>
      <c r="L16" s="207"/>
    </row>
    <row r="17" spans="1:12" ht="15">
      <c r="A17" s="208" t="s">
        <v>215</v>
      </c>
      <c r="B17" s="207"/>
      <c r="C17" s="207"/>
      <c r="D17" s="207"/>
      <c r="E17" s="207"/>
      <c r="F17" s="207"/>
      <c r="G17" s="207"/>
      <c r="H17" s="207"/>
      <c r="I17" s="207"/>
      <c r="J17" s="207"/>
      <c r="K17" s="207"/>
      <c r="L17" s="207"/>
    </row>
    <row r="18" spans="1:12" ht="15">
      <c r="A18" s="208" t="s">
        <v>214</v>
      </c>
      <c r="B18" s="207"/>
      <c r="C18" s="207"/>
      <c r="D18" s="207"/>
      <c r="E18" s="207"/>
      <c r="F18" s="207"/>
      <c r="G18" s="207"/>
      <c r="H18" s="207"/>
      <c r="I18" s="207"/>
      <c r="J18" s="207"/>
      <c r="K18" s="207"/>
      <c r="L18" s="207"/>
    </row>
    <row r="19" spans="1:12" ht="15">
      <c r="A19" s="208" t="s">
        <v>202</v>
      </c>
      <c r="B19" s="207"/>
      <c r="C19" s="207"/>
      <c r="D19" s="207"/>
      <c r="E19" s="207"/>
      <c r="F19" s="207"/>
      <c r="G19" s="207"/>
      <c r="H19" s="207"/>
      <c r="I19" s="207"/>
      <c r="J19" s="207"/>
      <c r="K19" s="207"/>
      <c r="L19" s="207"/>
    </row>
    <row r="20" spans="1:12" ht="15">
      <c r="A20" s="208"/>
      <c r="B20" s="207"/>
      <c r="C20" s="207"/>
      <c r="D20" s="207"/>
      <c r="E20" s="207"/>
      <c r="F20" s="207"/>
      <c r="G20" s="207"/>
      <c r="H20" s="207"/>
      <c r="I20" s="207"/>
      <c r="J20" s="207"/>
      <c r="K20" s="207"/>
      <c r="L20" s="207"/>
    </row>
    <row r="21" spans="1:12" ht="15">
      <c r="A21" s="208" t="s">
        <v>216</v>
      </c>
      <c r="B21" s="207"/>
      <c r="C21" s="207"/>
      <c r="D21" s="207"/>
      <c r="E21" s="207"/>
      <c r="F21" s="207"/>
      <c r="G21" s="207"/>
      <c r="H21" s="207"/>
      <c r="I21" s="207"/>
      <c r="J21" s="207"/>
      <c r="K21" s="207"/>
      <c r="L21" s="207"/>
    </row>
    <row r="22" spans="1:12" ht="15">
      <c r="A22" s="208" t="s">
        <v>217</v>
      </c>
      <c r="B22" s="207"/>
      <c r="C22" s="207"/>
      <c r="D22" s="207"/>
      <c r="E22" s="207"/>
      <c r="F22" s="207"/>
      <c r="G22" s="207"/>
      <c r="H22" s="207"/>
      <c r="I22" s="207"/>
      <c r="J22" s="207"/>
      <c r="K22" s="207"/>
      <c r="L22" s="207"/>
    </row>
    <row r="23" spans="1:12" ht="15">
      <c r="A23" s="208" t="s">
        <v>218</v>
      </c>
      <c r="B23" s="207"/>
      <c r="C23" s="207"/>
      <c r="D23" s="207"/>
      <c r="E23" s="207"/>
      <c r="F23" s="207"/>
      <c r="G23" s="207"/>
      <c r="H23" s="207"/>
      <c r="I23" s="207"/>
      <c r="J23" s="207"/>
      <c r="K23" s="207"/>
      <c r="L23" s="207"/>
    </row>
    <row r="24" spans="1:12" ht="15">
      <c r="A24" s="208" t="s">
        <v>219</v>
      </c>
      <c r="B24" s="207"/>
      <c r="C24" s="207"/>
      <c r="D24" s="207"/>
      <c r="E24" s="207"/>
      <c r="F24" s="207"/>
      <c r="G24" s="207"/>
      <c r="H24" s="207"/>
      <c r="I24" s="207"/>
      <c r="J24" s="207"/>
      <c r="K24" s="207"/>
      <c r="L24" s="207"/>
    </row>
    <row r="25" spans="1:12" ht="15">
      <c r="A25" s="208" t="s">
        <v>221</v>
      </c>
      <c r="B25" s="207"/>
      <c r="C25" s="207"/>
      <c r="D25" s="207"/>
      <c r="E25" s="207"/>
      <c r="F25" s="207"/>
      <c r="G25" s="207"/>
      <c r="H25" s="207"/>
      <c r="I25" s="207"/>
      <c r="J25" s="207"/>
      <c r="K25" s="207"/>
      <c r="L25" s="207"/>
    </row>
    <row r="26" spans="1:12" ht="15">
      <c r="A26" s="208" t="s">
        <v>220</v>
      </c>
      <c r="B26" s="207"/>
      <c r="C26" s="207"/>
      <c r="D26" s="207"/>
      <c r="E26" s="207"/>
      <c r="F26" s="207"/>
      <c r="G26" s="207"/>
      <c r="H26" s="207"/>
      <c r="I26" s="207"/>
      <c r="J26" s="207"/>
      <c r="K26" s="207"/>
      <c r="L26" s="207"/>
    </row>
    <row r="27" spans="1:12" ht="15">
      <c r="A27" s="208" t="s">
        <v>222</v>
      </c>
      <c r="B27" s="207"/>
      <c r="C27" s="207"/>
      <c r="D27" s="207"/>
      <c r="E27" s="207"/>
      <c r="F27" s="207"/>
      <c r="G27" s="207"/>
      <c r="H27" s="207"/>
      <c r="I27" s="207"/>
      <c r="J27" s="207"/>
      <c r="K27" s="207"/>
      <c r="L27" s="207"/>
    </row>
    <row r="28" spans="1:12" ht="15">
      <c r="A28" s="208" t="s">
        <v>223</v>
      </c>
      <c r="B28" s="207"/>
      <c r="C28" s="207"/>
      <c r="D28" s="207"/>
      <c r="E28" s="207"/>
      <c r="F28" s="207"/>
      <c r="G28" s="207"/>
      <c r="H28" s="207"/>
      <c r="I28" s="207"/>
      <c r="J28" s="207"/>
      <c r="K28" s="207"/>
      <c r="L28" s="207"/>
    </row>
    <row r="29" spans="1:12" ht="15">
      <c r="A29" s="208"/>
      <c r="B29" s="207"/>
      <c r="C29" s="207"/>
      <c r="D29" s="207"/>
      <c r="E29" s="207"/>
      <c r="F29" s="207"/>
      <c r="G29" s="207"/>
      <c r="H29" s="207"/>
      <c r="I29" s="207"/>
      <c r="J29" s="207"/>
      <c r="K29" s="207"/>
      <c r="L29" s="207"/>
    </row>
    <row r="30" spans="1:12" ht="15">
      <c r="A30" s="208" t="s">
        <v>224</v>
      </c>
      <c r="B30" s="207"/>
      <c r="C30" s="207"/>
      <c r="D30" s="207"/>
      <c r="E30" s="207"/>
      <c r="F30" s="207"/>
      <c r="G30" s="207"/>
      <c r="H30" s="207"/>
      <c r="I30" s="207"/>
      <c r="J30" s="207"/>
      <c r="K30" s="207"/>
      <c r="L30" s="207"/>
    </row>
    <row r="31" spans="1:12" ht="15">
      <c r="A31" s="208" t="s">
        <v>226</v>
      </c>
      <c r="B31" s="207"/>
      <c r="C31" s="207"/>
      <c r="D31" s="207"/>
      <c r="E31" s="207"/>
      <c r="F31" s="207"/>
      <c r="G31" s="207"/>
      <c r="H31" s="207"/>
      <c r="I31" s="207"/>
      <c r="J31" s="207"/>
      <c r="K31" s="207"/>
      <c r="L31" s="207"/>
    </row>
    <row r="32" spans="1:12" ht="15">
      <c r="A32" s="208" t="s">
        <v>225</v>
      </c>
      <c r="B32" s="207"/>
      <c r="C32" s="207"/>
      <c r="D32" s="207"/>
      <c r="E32" s="207"/>
      <c r="F32" s="207"/>
      <c r="G32" s="207"/>
      <c r="H32" s="207"/>
      <c r="I32" s="207"/>
      <c r="J32" s="207"/>
      <c r="K32" s="207"/>
      <c r="L32" s="207"/>
    </row>
    <row r="33" spans="1:12" ht="15">
      <c r="A33" s="208"/>
      <c r="B33" s="207"/>
      <c r="C33" s="207"/>
      <c r="D33" s="207"/>
      <c r="E33" s="207"/>
      <c r="F33" s="207"/>
      <c r="G33" s="207"/>
      <c r="H33" s="207"/>
      <c r="I33" s="207"/>
      <c r="J33" s="207"/>
      <c r="K33" s="207"/>
      <c r="L33" s="207"/>
    </row>
    <row r="34" spans="1:12" ht="15">
      <c r="A34" s="208" t="s">
        <v>227</v>
      </c>
      <c r="B34" s="207"/>
      <c r="C34" s="207"/>
      <c r="D34" s="207"/>
      <c r="E34" s="207"/>
      <c r="F34" s="207"/>
      <c r="G34" s="207"/>
      <c r="H34" s="207"/>
      <c r="I34" s="207"/>
      <c r="J34" s="207"/>
      <c r="K34" s="207"/>
      <c r="L34" s="207"/>
    </row>
    <row r="35" spans="1:12" ht="15">
      <c r="A35" s="208" t="s">
        <v>228</v>
      </c>
      <c r="B35" s="207"/>
      <c r="C35" s="207"/>
      <c r="D35" s="207"/>
      <c r="E35" s="207"/>
      <c r="F35" s="207"/>
      <c r="G35" s="207"/>
      <c r="H35" s="207"/>
      <c r="I35" s="207"/>
      <c r="J35" s="207"/>
      <c r="K35" s="207"/>
      <c r="L35" s="207"/>
    </row>
    <row r="36" spans="1:12" ht="15">
      <c r="A36" s="208" t="s">
        <v>229</v>
      </c>
      <c r="B36" s="207"/>
      <c r="C36" s="207"/>
      <c r="D36" s="207"/>
      <c r="E36" s="207"/>
      <c r="F36" s="207"/>
      <c r="G36" s="207"/>
      <c r="H36" s="207"/>
      <c r="I36" s="207"/>
      <c r="J36" s="207"/>
      <c r="K36" s="207"/>
      <c r="L36" s="207"/>
    </row>
    <row r="37" spans="1:12" ht="15">
      <c r="A37" s="208" t="s">
        <v>230</v>
      </c>
      <c r="B37" s="207"/>
      <c r="C37" s="207"/>
      <c r="D37" s="207"/>
      <c r="E37" s="207"/>
      <c r="F37" s="207"/>
      <c r="G37" s="207"/>
      <c r="H37" s="207"/>
      <c r="I37" s="207"/>
      <c r="J37" s="207"/>
      <c r="K37" s="207"/>
      <c r="L37" s="207"/>
    </row>
    <row r="38" spans="1:12" ht="15">
      <c r="A38" s="208" t="s">
        <v>231</v>
      </c>
      <c r="B38" s="207"/>
      <c r="C38" s="207"/>
      <c r="D38" s="207"/>
      <c r="E38" s="207"/>
      <c r="F38" s="207"/>
      <c r="G38" s="207"/>
      <c r="H38" s="207"/>
      <c r="I38" s="207"/>
      <c r="J38" s="207"/>
      <c r="K38" s="207"/>
      <c r="L38" s="207"/>
    </row>
    <row r="39" spans="1:12" ht="15">
      <c r="A39" s="208"/>
      <c r="B39" s="207"/>
      <c r="C39" s="207"/>
      <c r="D39" s="207"/>
      <c r="E39" s="207"/>
      <c r="F39" s="207"/>
      <c r="G39" s="207"/>
      <c r="H39" s="207"/>
      <c r="I39" s="207"/>
      <c r="J39" s="207"/>
      <c r="K39" s="207"/>
      <c r="L39" s="207"/>
    </row>
    <row r="40" spans="1:12" ht="15">
      <c r="A40" s="208" t="s">
        <v>232</v>
      </c>
      <c r="B40" s="207"/>
      <c r="C40" s="207"/>
      <c r="D40" s="207"/>
      <c r="E40" s="207"/>
      <c r="F40" s="207"/>
      <c r="G40" s="207"/>
      <c r="H40" s="207"/>
      <c r="I40" s="207"/>
      <c r="J40" s="207"/>
      <c r="K40" s="207"/>
      <c r="L40" s="207"/>
    </row>
    <row r="41" spans="1:12" ht="15">
      <c r="A41" s="208" t="s">
        <v>233</v>
      </c>
      <c r="B41" s="207"/>
      <c r="C41" s="207"/>
      <c r="D41" s="207"/>
      <c r="E41" s="207"/>
      <c r="F41" s="207"/>
      <c r="G41" s="207"/>
      <c r="H41" s="207"/>
      <c r="I41" s="207"/>
      <c r="J41" s="207"/>
      <c r="K41" s="207"/>
      <c r="L41" s="207"/>
    </row>
    <row r="42" spans="1:12" ht="15">
      <c r="A42" s="208" t="s">
        <v>234</v>
      </c>
      <c r="B42" s="207"/>
      <c r="C42" s="207"/>
      <c r="D42" s="207"/>
      <c r="E42" s="207"/>
      <c r="F42" s="207"/>
      <c r="G42" s="207"/>
      <c r="H42" s="207"/>
      <c r="I42" s="207"/>
      <c r="J42" s="207"/>
      <c r="K42" s="207"/>
      <c r="L42" s="207"/>
    </row>
    <row r="43" spans="1:12" ht="15">
      <c r="A43" s="208" t="s">
        <v>235</v>
      </c>
      <c r="B43" s="207"/>
      <c r="C43" s="207"/>
      <c r="D43" s="207"/>
      <c r="E43" s="207"/>
      <c r="F43" s="207"/>
      <c r="G43" s="207"/>
      <c r="H43" s="207"/>
      <c r="I43" s="207"/>
      <c r="J43" s="207"/>
      <c r="K43" s="207"/>
      <c r="L43" s="207"/>
    </row>
    <row r="44" spans="1:12" ht="15">
      <c r="A44" s="208" t="s">
        <v>236</v>
      </c>
      <c r="B44" s="207"/>
      <c r="C44" s="207"/>
      <c r="D44" s="207"/>
      <c r="E44" s="207"/>
      <c r="F44" s="207"/>
      <c r="G44" s="207"/>
      <c r="H44" s="207"/>
      <c r="I44" s="207"/>
      <c r="J44" s="207"/>
      <c r="K44" s="207"/>
      <c r="L44" s="207"/>
    </row>
    <row r="45" spans="1:12" ht="15">
      <c r="A45" s="208" t="s">
        <v>323</v>
      </c>
      <c r="B45" s="207"/>
      <c r="C45" s="207"/>
      <c r="D45" s="207"/>
      <c r="E45" s="207"/>
      <c r="F45" s="207"/>
      <c r="G45" s="207"/>
      <c r="H45" s="207"/>
      <c r="I45" s="207"/>
      <c r="J45" s="207"/>
      <c r="K45" s="207"/>
      <c r="L45" s="207"/>
    </row>
    <row r="46" spans="1:12" ht="15">
      <c r="A46" s="208" t="s">
        <v>237</v>
      </c>
      <c r="B46" s="207"/>
      <c r="C46" s="207"/>
      <c r="D46" s="207"/>
      <c r="E46" s="207"/>
      <c r="F46" s="207"/>
      <c r="G46" s="207"/>
      <c r="H46" s="207"/>
      <c r="I46" s="207"/>
      <c r="J46" s="207"/>
      <c r="K46" s="207"/>
      <c r="L46" s="207"/>
    </row>
    <row r="47" spans="1:12" ht="15">
      <c r="A47" s="208" t="s">
        <v>238</v>
      </c>
      <c r="B47" s="207"/>
      <c r="C47" s="207"/>
      <c r="D47" s="207"/>
      <c r="E47" s="207"/>
      <c r="F47" s="207"/>
      <c r="G47" s="207"/>
      <c r="H47" s="207"/>
      <c r="I47" s="207"/>
      <c r="J47" s="207"/>
      <c r="K47" s="207"/>
      <c r="L47" s="207"/>
    </row>
    <row r="48" spans="1:12" ht="15">
      <c r="A48" s="208" t="s">
        <v>239</v>
      </c>
      <c r="B48" s="207"/>
      <c r="C48" s="207"/>
      <c r="D48" s="207"/>
      <c r="E48" s="207"/>
      <c r="F48" s="207"/>
      <c r="G48" s="207"/>
      <c r="H48" s="207"/>
      <c r="I48" s="207"/>
      <c r="J48" s="207"/>
      <c r="K48" s="207"/>
      <c r="L48" s="207"/>
    </row>
    <row r="49" spans="1:12" ht="15">
      <c r="A49" s="208" t="s">
        <v>240</v>
      </c>
      <c r="B49" s="207"/>
      <c r="C49" s="207"/>
      <c r="D49" s="207"/>
      <c r="E49" s="207"/>
      <c r="F49" s="207"/>
      <c r="G49" s="207"/>
      <c r="H49" s="207"/>
      <c r="I49" s="207"/>
      <c r="J49" s="207"/>
      <c r="K49" s="207"/>
      <c r="L49" s="207"/>
    </row>
    <row r="50" spans="1:12" ht="15">
      <c r="A50" s="208" t="s">
        <v>241</v>
      </c>
      <c r="B50" s="207"/>
      <c r="C50" s="207"/>
      <c r="D50" s="207"/>
      <c r="E50" s="207"/>
      <c r="F50" s="207"/>
      <c r="G50" s="207"/>
      <c r="H50" s="207"/>
      <c r="I50" s="207"/>
      <c r="J50" s="207"/>
      <c r="K50" s="207"/>
      <c r="L50" s="207"/>
    </row>
    <row r="51" spans="1:12" ht="15">
      <c r="A51" s="208" t="s">
        <v>243</v>
      </c>
      <c r="B51" s="207"/>
      <c r="C51" s="207"/>
      <c r="D51" s="207"/>
      <c r="E51" s="207"/>
      <c r="F51" s="207"/>
      <c r="G51" s="207"/>
      <c r="H51" s="207"/>
      <c r="I51" s="207"/>
      <c r="J51" s="207"/>
      <c r="K51" s="207"/>
      <c r="L51" s="207"/>
    </row>
    <row r="52" spans="1:12" ht="15">
      <c r="A52" s="208" t="s">
        <v>242</v>
      </c>
      <c r="B52" s="207"/>
      <c r="C52" s="207"/>
      <c r="D52" s="207"/>
      <c r="E52" s="207"/>
      <c r="F52" s="207"/>
      <c r="G52" s="207"/>
      <c r="H52" s="207"/>
      <c r="I52" s="207"/>
      <c r="J52" s="207"/>
      <c r="K52" s="207"/>
      <c r="L52" s="207"/>
    </row>
    <row r="53" spans="1:12" ht="15">
      <c r="A53" s="208"/>
      <c r="B53" s="207"/>
      <c r="C53" s="207"/>
      <c r="D53" s="207"/>
      <c r="E53" s="207"/>
      <c r="F53" s="207"/>
      <c r="G53" s="207"/>
      <c r="H53" s="207"/>
      <c r="I53" s="207"/>
      <c r="J53" s="207"/>
      <c r="K53" s="207"/>
      <c r="L53" s="207"/>
    </row>
    <row r="54" spans="1:12" ht="15">
      <c r="A54" s="208" t="s">
        <v>244</v>
      </c>
      <c r="B54" s="207"/>
      <c r="C54" s="207"/>
      <c r="D54" s="207"/>
      <c r="E54" s="207"/>
      <c r="F54" s="207"/>
      <c r="G54" s="207"/>
      <c r="H54" s="207"/>
      <c r="I54" s="207"/>
      <c r="J54" s="207"/>
      <c r="K54" s="207"/>
      <c r="L54" s="207"/>
    </row>
    <row r="55" spans="1:12" ht="15">
      <c r="A55" s="208" t="s">
        <v>245</v>
      </c>
      <c r="B55" s="207"/>
      <c r="C55" s="207"/>
      <c r="D55" s="207"/>
      <c r="E55" s="207"/>
      <c r="F55" s="207"/>
      <c r="G55" s="207"/>
      <c r="H55" s="207"/>
      <c r="I55" s="207"/>
      <c r="J55" s="207"/>
      <c r="K55" s="207"/>
      <c r="L55" s="207"/>
    </row>
    <row r="56" spans="1:12" ht="15">
      <c r="A56" s="208" t="s">
        <v>246</v>
      </c>
      <c r="B56" s="207"/>
      <c r="C56" s="207"/>
      <c r="D56" s="207"/>
      <c r="E56" s="207"/>
      <c r="F56" s="207"/>
      <c r="G56" s="207"/>
      <c r="H56" s="207"/>
      <c r="I56" s="207"/>
      <c r="J56" s="207"/>
      <c r="K56" s="207"/>
      <c r="L56" s="207"/>
    </row>
    <row r="57" spans="1:12" ht="15">
      <c r="A57" s="208"/>
      <c r="B57" s="207"/>
      <c r="C57" s="207"/>
      <c r="D57" s="207"/>
      <c r="E57" s="207"/>
      <c r="F57" s="207"/>
      <c r="G57" s="207"/>
      <c r="H57" s="207"/>
      <c r="I57" s="207"/>
      <c r="J57" s="207"/>
      <c r="K57" s="207"/>
      <c r="L57" s="207"/>
    </row>
    <row r="58" spans="1:12" ht="15">
      <c r="A58" s="208" t="s">
        <v>247</v>
      </c>
      <c r="B58" s="207"/>
      <c r="C58" s="207"/>
      <c r="D58" s="207"/>
      <c r="E58" s="207"/>
      <c r="F58" s="207"/>
      <c r="G58" s="207"/>
      <c r="H58" s="207"/>
      <c r="I58" s="207"/>
      <c r="J58" s="207"/>
      <c r="K58" s="207"/>
      <c r="L58" s="207"/>
    </row>
    <row r="59" spans="1:12" ht="15">
      <c r="A59" s="208" t="s">
        <v>248</v>
      </c>
      <c r="B59" s="207"/>
      <c r="C59" s="207"/>
      <c r="D59" s="207"/>
      <c r="E59" s="207"/>
      <c r="F59" s="207"/>
      <c r="G59" s="207"/>
      <c r="H59" s="207"/>
      <c r="I59" s="207"/>
      <c r="J59" s="207"/>
      <c r="K59" s="207"/>
      <c r="L59" s="207"/>
    </row>
    <row r="60" spans="1:12" ht="15">
      <c r="A60" s="208" t="s">
        <v>250</v>
      </c>
      <c r="B60" s="207"/>
      <c r="C60" s="207"/>
      <c r="D60" s="207"/>
      <c r="E60" s="207"/>
      <c r="F60" s="207"/>
      <c r="G60" s="207"/>
      <c r="H60" s="207"/>
      <c r="I60" s="207"/>
      <c r="J60" s="207"/>
      <c r="K60" s="207"/>
      <c r="L60" s="207"/>
    </row>
    <row r="61" spans="1:12" ht="15">
      <c r="A61" s="208" t="s">
        <v>249</v>
      </c>
      <c r="B61" s="207"/>
      <c r="C61" s="207"/>
      <c r="D61" s="207"/>
      <c r="E61" s="207"/>
      <c r="F61" s="207"/>
      <c r="G61" s="207"/>
      <c r="H61" s="207"/>
      <c r="I61" s="207"/>
      <c r="J61" s="207"/>
      <c r="K61" s="207"/>
      <c r="L61" s="207"/>
    </row>
    <row r="62" spans="1:12" ht="15">
      <c r="A62" s="208"/>
      <c r="B62" s="207"/>
      <c r="C62" s="207"/>
      <c r="D62" s="207"/>
      <c r="E62" s="207"/>
      <c r="F62" s="207"/>
      <c r="G62" s="207"/>
      <c r="H62" s="207"/>
      <c r="I62" s="207"/>
      <c r="J62" s="207"/>
      <c r="K62" s="207"/>
      <c r="L62" s="207"/>
    </row>
    <row r="63" spans="1:12" ht="15">
      <c r="A63" s="208" t="s">
        <v>251</v>
      </c>
      <c r="B63" s="207"/>
      <c r="C63" s="207"/>
      <c r="D63" s="207"/>
      <c r="E63" s="207"/>
      <c r="F63" s="207"/>
      <c r="G63" s="207"/>
      <c r="H63" s="207"/>
      <c r="I63" s="207"/>
      <c r="J63" s="207"/>
      <c r="K63" s="207"/>
      <c r="L63" s="207"/>
    </row>
    <row r="64" spans="1:12" ht="15">
      <c r="A64" s="208" t="s">
        <v>253</v>
      </c>
      <c r="B64" s="207"/>
      <c r="C64" s="207"/>
      <c r="D64" s="207"/>
      <c r="E64" s="207"/>
      <c r="F64" s="207"/>
      <c r="G64" s="207"/>
      <c r="H64" s="207"/>
      <c r="I64" s="207"/>
      <c r="J64" s="207"/>
      <c r="K64" s="207"/>
      <c r="L64" s="207"/>
    </row>
    <row r="65" spans="1:12" ht="15">
      <c r="A65" s="208" t="s">
        <v>252</v>
      </c>
      <c r="B65" s="207"/>
      <c r="C65" s="207"/>
      <c r="D65" s="207"/>
      <c r="E65" s="207"/>
      <c r="F65" s="207"/>
      <c r="G65" s="207"/>
      <c r="H65" s="207"/>
      <c r="I65" s="207"/>
      <c r="J65" s="207"/>
      <c r="K65" s="207"/>
      <c r="L65" s="207"/>
    </row>
    <row r="66" spans="1:12" ht="15">
      <c r="A66" s="208" t="s">
        <v>254</v>
      </c>
      <c r="B66" s="207"/>
      <c r="C66" s="207"/>
      <c r="D66" s="207"/>
      <c r="E66" s="207"/>
      <c r="F66" s="207"/>
      <c r="G66" s="207"/>
      <c r="H66" s="207"/>
      <c r="I66" s="207"/>
      <c r="J66" s="207"/>
      <c r="K66" s="207"/>
      <c r="L66" s="207"/>
    </row>
    <row r="67" spans="1:12" ht="15">
      <c r="A67" s="208" t="s">
        <v>255</v>
      </c>
      <c r="B67" s="207"/>
      <c r="C67" s="207"/>
      <c r="D67" s="207"/>
      <c r="E67" s="207"/>
      <c r="F67" s="207"/>
      <c r="G67" s="207"/>
      <c r="H67" s="207"/>
      <c r="I67" s="207"/>
      <c r="J67" s="207"/>
      <c r="K67" s="207"/>
      <c r="L67" s="207"/>
    </row>
    <row r="68" spans="1:12" ht="15">
      <c r="A68" s="208" t="s">
        <v>256</v>
      </c>
      <c r="B68" s="207"/>
      <c r="C68" s="207"/>
      <c r="D68" s="207"/>
      <c r="E68" s="207"/>
      <c r="F68" s="207"/>
      <c r="G68" s="207"/>
      <c r="H68" s="207"/>
      <c r="I68" s="207"/>
      <c r="J68" s="207"/>
      <c r="K68" s="207"/>
      <c r="L68" s="207"/>
    </row>
    <row r="69" spans="1:12" ht="15">
      <c r="A69" s="208" t="s">
        <v>257</v>
      </c>
      <c r="B69" s="207"/>
      <c r="C69" s="207"/>
      <c r="D69" s="207"/>
      <c r="E69" s="207"/>
      <c r="F69" s="207"/>
      <c r="G69" s="207"/>
      <c r="H69" s="207"/>
      <c r="I69" s="207"/>
      <c r="J69" s="207"/>
      <c r="K69" s="207"/>
      <c r="L69" s="207"/>
    </row>
    <row r="70" spans="1:12" ht="15">
      <c r="A70" s="208" t="s">
        <v>258</v>
      </c>
      <c r="B70" s="207"/>
      <c r="C70" s="207"/>
      <c r="D70" s="207"/>
      <c r="E70" s="207"/>
      <c r="F70" s="207"/>
      <c r="G70" s="207"/>
      <c r="H70" s="207"/>
      <c r="I70" s="207"/>
      <c r="J70" s="207"/>
      <c r="K70" s="207"/>
      <c r="L70" s="207"/>
    </row>
    <row r="71" spans="1:12" ht="15">
      <c r="A71" s="208"/>
      <c r="B71" s="207"/>
      <c r="C71" s="207"/>
      <c r="D71" s="207"/>
      <c r="E71" s="207"/>
      <c r="F71" s="207"/>
      <c r="G71" s="207"/>
      <c r="H71" s="207"/>
      <c r="I71" s="207"/>
      <c r="J71" s="207"/>
      <c r="K71" s="207"/>
      <c r="L71" s="207"/>
    </row>
    <row r="72" spans="1:12" ht="15">
      <c r="A72" s="208" t="s">
        <v>293</v>
      </c>
      <c r="B72" s="207"/>
      <c r="C72" s="207"/>
      <c r="D72" s="207"/>
      <c r="E72" s="207"/>
      <c r="F72" s="207"/>
      <c r="G72" s="207"/>
      <c r="H72" s="207"/>
      <c r="I72" s="207"/>
      <c r="J72" s="207"/>
      <c r="K72" s="207"/>
      <c r="L72" s="207"/>
    </row>
    <row r="73" spans="1:12" ht="15">
      <c r="A73" s="208" t="s">
        <v>294</v>
      </c>
      <c r="B73" s="207"/>
      <c r="C73" s="207"/>
      <c r="D73" s="207"/>
      <c r="E73" s="207"/>
      <c r="F73" s="207"/>
      <c r="G73" s="207"/>
      <c r="H73" s="207"/>
      <c r="I73" s="207"/>
      <c r="J73" s="207"/>
      <c r="K73" s="207"/>
      <c r="L73" s="207"/>
    </row>
    <row r="74" spans="1:12" ht="15">
      <c r="A74" s="208" t="s">
        <v>295</v>
      </c>
      <c r="B74" s="207"/>
      <c r="C74" s="207"/>
      <c r="D74" s="207"/>
      <c r="E74" s="207"/>
      <c r="F74" s="207"/>
      <c r="G74" s="207"/>
      <c r="H74" s="207"/>
      <c r="I74" s="207"/>
      <c r="J74" s="207"/>
      <c r="K74" s="207"/>
      <c r="L74" s="207"/>
    </row>
    <row r="75" spans="1:12" ht="15">
      <c r="A75" s="208" t="s">
        <v>296</v>
      </c>
      <c r="B75" s="207"/>
      <c r="C75" s="207"/>
      <c r="D75" s="207"/>
      <c r="E75" s="207"/>
      <c r="F75" s="207"/>
      <c r="G75" s="207"/>
      <c r="H75" s="207"/>
      <c r="I75" s="207"/>
      <c r="J75" s="207"/>
      <c r="K75" s="207"/>
      <c r="L75" s="207"/>
    </row>
    <row r="76" spans="1:12" ht="15">
      <c r="A76" s="208"/>
      <c r="B76" s="207"/>
      <c r="C76" s="207"/>
      <c r="D76" s="207"/>
      <c r="E76" s="207"/>
      <c r="F76" s="207"/>
      <c r="G76" s="207"/>
      <c r="H76" s="207"/>
      <c r="I76" s="207"/>
      <c r="J76" s="207"/>
      <c r="K76" s="207"/>
      <c r="L76" s="207"/>
    </row>
    <row r="77" spans="1:12" ht="15">
      <c r="A77" s="208" t="s">
        <v>259</v>
      </c>
      <c r="B77" s="207"/>
      <c r="C77" s="207"/>
      <c r="D77" s="207"/>
      <c r="E77" s="207"/>
      <c r="F77" s="207"/>
      <c r="G77" s="207"/>
      <c r="H77" s="207"/>
      <c r="I77" s="207"/>
      <c r="J77" s="207"/>
      <c r="K77" s="207"/>
      <c r="L77" s="207"/>
    </row>
    <row r="78" spans="1:12" ht="15">
      <c r="A78" s="208" t="s">
        <v>260</v>
      </c>
      <c r="B78" s="207"/>
      <c r="C78" s="207"/>
      <c r="D78" s="207"/>
      <c r="E78" s="207"/>
      <c r="F78" s="207"/>
      <c r="G78" s="207"/>
      <c r="H78" s="207"/>
      <c r="I78" s="207"/>
      <c r="J78" s="207"/>
      <c r="K78" s="207"/>
      <c r="L78" s="207"/>
    </row>
    <row r="79" spans="1:12" ht="15">
      <c r="A79" s="208" t="s">
        <v>298</v>
      </c>
      <c r="B79" s="207"/>
      <c r="C79" s="207"/>
      <c r="D79" s="207"/>
      <c r="E79" s="207"/>
      <c r="F79" s="207"/>
      <c r="G79" s="207"/>
      <c r="H79" s="207"/>
      <c r="I79" s="207"/>
      <c r="J79" s="207"/>
      <c r="K79" s="207"/>
      <c r="L79" s="207"/>
    </row>
    <row r="80" spans="1:12" ht="15">
      <c r="A80" s="208" t="s">
        <v>297</v>
      </c>
      <c r="B80" s="207"/>
      <c r="C80" s="207"/>
      <c r="D80" s="207"/>
      <c r="E80" s="207"/>
      <c r="F80" s="207"/>
      <c r="G80" s="207"/>
      <c r="H80" s="207"/>
      <c r="I80" s="207"/>
      <c r="J80" s="207"/>
      <c r="K80" s="207"/>
      <c r="L80" s="207"/>
    </row>
    <row r="81" spans="1:12" ht="15">
      <c r="A81" s="208"/>
      <c r="B81" s="207"/>
      <c r="C81" s="207"/>
      <c r="D81" s="207"/>
      <c r="E81" s="207"/>
      <c r="F81" s="207"/>
      <c r="G81" s="207"/>
      <c r="H81" s="207"/>
      <c r="I81" s="207"/>
      <c r="J81" s="207"/>
      <c r="K81" s="207"/>
      <c r="L81" s="207"/>
    </row>
    <row r="82" spans="1:12" ht="15">
      <c r="A82" s="208" t="s">
        <v>268</v>
      </c>
      <c r="B82" s="207"/>
      <c r="C82" s="207"/>
      <c r="D82" s="207"/>
      <c r="E82" s="207"/>
      <c r="F82" s="207"/>
      <c r="G82" s="207"/>
      <c r="H82" s="207"/>
      <c r="I82" s="207"/>
      <c r="J82" s="207"/>
      <c r="K82" s="207"/>
      <c r="L82" s="207"/>
    </row>
    <row r="83" spans="1:12" ht="15">
      <c r="A83" s="208" t="s">
        <v>269</v>
      </c>
      <c r="B83" s="207"/>
      <c r="C83" s="207"/>
      <c r="D83" s="207"/>
      <c r="E83" s="207"/>
      <c r="F83" s="207"/>
      <c r="G83" s="207"/>
      <c r="H83" s="207"/>
      <c r="I83" s="207"/>
      <c r="J83" s="207"/>
      <c r="K83" s="207"/>
      <c r="L83" s="207"/>
    </row>
    <row r="84" spans="1:12" ht="15">
      <c r="A84" s="208" t="s">
        <v>270</v>
      </c>
      <c r="B84" s="207"/>
      <c r="C84" s="207"/>
      <c r="D84" s="207"/>
      <c r="E84" s="207"/>
      <c r="F84" s="207"/>
      <c r="G84" s="207"/>
      <c r="H84" s="207"/>
      <c r="I84" s="207"/>
      <c r="J84" s="207"/>
      <c r="K84" s="207"/>
      <c r="L84" s="207"/>
    </row>
    <row r="85" spans="1:12" ht="15">
      <c r="A85" s="208"/>
      <c r="B85" s="207"/>
      <c r="C85" s="207"/>
      <c r="D85" s="207"/>
      <c r="E85" s="207"/>
      <c r="F85" s="207"/>
      <c r="G85" s="207"/>
      <c r="H85" s="207"/>
      <c r="I85" s="207"/>
      <c r="J85" s="207"/>
      <c r="K85" s="207"/>
      <c r="L85" s="207"/>
    </row>
    <row r="86" spans="1:12" ht="15">
      <c r="A86" s="208" t="s">
        <v>261</v>
      </c>
      <c r="B86" s="207"/>
      <c r="C86" s="207"/>
      <c r="D86" s="207"/>
      <c r="E86" s="207"/>
      <c r="F86" s="207"/>
      <c r="G86" s="207"/>
      <c r="H86" s="207"/>
      <c r="I86" s="207"/>
      <c r="J86" s="207"/>
      <c r="K86" s="207"/>
      <c r="L86" s="207"/>
    </row>
    <row r="87" spans="1:12" ht="15">
      <c r="A87" s="208" t="s">
        <v>262</v>
      </c>
      <c r="B87" s="207"/>
      <c r="C87" s="207"/>
      <c r="D87" s="207"/>
      <c r="E87" s="207"/>
      <c r="F87" s="207"/>
      <c r="G87" s="207"/>
      <c r="H87" s="207"/>
      <c r="I87" s="207"/>
      <c r="J87" s="207"/>
      <c r="K87" s="207"/>
      <c r="L87" s="207"/>
    </row>
    <row r="88" ht="15">
      <c r="A88" s="208" t="s">
        <v>263</v>
      </c>
    </row>
    <row r="89" ht="15">
      <c r="A89" s="208" t="s">
        <v>264</v>
      </c>
    </row>
    <row r="90" ht="15">
      <c r="A90" s="208" t="s">
        <v>265</v>
      </c>
    </row>
    <row r="91" ht="15">
      <c r="A91" s="208" t="s">
        <v>266</v>
      </c>
    </row>
    <row r="92" ht="15">
      <c r="A92" s="208"/>
    </row>
  </sheetData>
  <printOptions/>
  <pageMargins left="0.76" right="0.36"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6"/>
  <dimension ref="A1:AF68"/>
  <sheetViews>
    <sheetView showGridLines="0" workbookViewId="0" topLeftCell="A31">
      <selection activeCell="F44" sqref="F44"/>
    </sheetView>
  </sheetViews>
  <sheetFormatPr defaultColWidth="9.140625" defaultRowHeight="12.75"/>
  <cols>
    <col min="1" max="1" width="27.57421875" style="0" customWidth="1"/>
    <col min="2" max="2" width="9.8515625" style="31" customWidth="1"/>
    <col min="3" max="3" width="11.28125" style="31" customWidth="1"/>
    <col min="4" max="4" width="10.57421875" style="31" customWidth="1"/>
    <col min="5" max="5" width="11.00390625" style="31" customWidth="1"/>
    <col min="6" max="6" width="8.7109375" style="0" customWidth="1"/>
    <col min="7" max="7" width="8.00390625" style="0" customWidth="1"/>
    <col min="8" max="8" width="27.57421875" style="0" customWidth="1"/>
    <col min="9" max="11" width="8.00390625" style="0" customWidth="1"/>
    <col min="12" max="12" width="40.00390625" style="0" bestFit="1" customWidth="1"/>
    <col min="13" max="14" width="8.00390625" style="0" customWidth="1"/>
    <col min="15" max="15" width="14.8515625" style="0" bestFit="1" customWidth="1"/>
    <col min="16" max="16384" width="8.00390625" style="0" customWidth="1"/>
  </cols>
  <sheetData>
    <row r="1" spans="1:6" ht="15.75">
      <c r="A1" s="421" t="str">
        <f>'B Balance sheet'!A1</f>
        <v>Speedy B's LLC - NEW</v>
      </c>
      <c r="B1" s="422"/>
      <c r="C1" s="422"/>
      <c r="D1" s="422"/>
      <c r="E1" s="422"/>
      <c r="F1" s="423"/>
    </row>
    <row r="2" spans="1:6" ht="15.75">
      <c r="A2" s="430" t="str">
        <f>'1st year Cash Flow'!A3:N3</f>
        <v>Cash Flow Statement</v>
      </c>
      <c r="B2" s="431"/>
      <c r="C2" s="431"/>
      <c r="D2" s="431"/>
      <c r="E2" s="431"/>
      <c r="F2" s="432"/>
    </row>
    <row r="3" spans="1:6" ht="15.75">
      <c r="A3" s="430" t="str">
        <f>'1st year Cash Flow'!A4:N4</f>
        <v>For Year Ending</v>
      </c>
      <c r="B3" s="431"/>
      <c r="C3" s="431"/>
      <c r="D3" s="431"/>
      <c r="E3" s="431"/>
      <c r="F3" s="432"/>
    </row>
    <row r="4" spans="1:6" ht="15.75">
      <c r="A4" s="433">
        <f>'2nd Year IS'!A4:F4</f>
        <v>39691</v>
      </c>
      <c r="B4" s="434"/>
      <c r="C4" s="434"/>
      <c r="D4" s="434"/>
      <c r="E4" s="434"/>
      <c r="F4" s="435"/>
    </row>
    <row r="5" spans="1:6" s="29" customFormat="1" ht="12.75">
      <c r="A5" s="64"/>
      <c r="B5" s="56"/>
      <c r="C5" s="56"/>
      <c r="D5" s="56"/>
      <c r="E5" s="56"/>
      <c r="F5" s="65"/>
    </row>
    <row r="6" spans="1:6" ht="12.75">
      <c r="A6" s="64"/>
      <c r="B6" s="213" t="s">
        <v>62</v>
      </c>
      <c r="C6" s="213" t="s">
        <v>63</v>
      </c>
      <c r="D6" s="213" t="s">
        <v>64</v>
      </c>
      <c r="E6" s="213" t="s">
        <v>65</v>
      </c>
      <c r="F6" s="214" t="s">
        <v>72</v>
      </c>
    </row>
    <row r="7" spans="1:6" s="31" customFormat="1" ht="12.75">
      <c r="A7" s="66" t="s">
        <v>41</v>
      </c>
      <c r="B7" s="57"/>
      <c r="C7" s="57"/>
      <c r="D7" s="57"/>
      <c r="E7" s="57"/>
      <c r="F7" s="62"/>
    </row>
    <row r="8" spans="1:6" s="31" customFormat="1" ht="12.75">
      <c r="A8" s="69" t="s">
        <v>315</v>
      </c>
      <c r="B8" s="57">
        <f>'2nd Year IS'!B9</f>
        <v>56439</v>
      </c>
      <c r="C8" s="57">
        <f>'2nd Year IS'!C9</f>
        <v>56438</v>
      </c>
      <c r="D8" s="57">
        <f>'2nd Year IS'!D9</f>
        <v>56438</v>
      </c>
      <c r="E8" s="57">
        <f>'2nd Year IS'!E9</f>
        <v>56438</v>
      </c>
      <c r="F8" s="70">
        <f>SUM(B8:E8)</f>
        <v>225753</v>
      </c>
    </row>
    <row r="9" spans="1:6" ht="12.75">
      <c r="A9" s="69" t="s">
        <v>316</v>
      </c>
      <c r="B9" s="57">
        <f>($B$43*B8)</f>
        <v>0</v>
      </c>
      <c r="C9" s="57">
        <f>($B$43*C8)</f>
        <v>0</v>
      </c>
      <c r="D9" s="57">
        <f>($B$43*D8)</f>
        <v>0</v>
      </c>
      <c r="E9" s="57">
        <f>($B$43*E8)</f>
        <v>0</v>
      </c>
      <c r="F9" s="70">
        <f>SUM(B9:E9)</f>
        <v>0</v>
      </c>
    </row>
    <row r="10" spans="1:6" ht="12.75">
      <c r="A10" s="63" t="s">
        <v>317</v>
      </c>
      <c r="B10" s="57">
        <f>('1st Year BS'!D10+('2nd Year CF'!B9*(1-$B$44/90)))</f>
        <v>0</v>
      </c>
      <c r="C10" s="57">
        <f>+('2nd Year CF'!C9*(1-$B$44/90))+(B9*$B$44/90)</f>
        <v>0</v>
      </c>
      <c r="D10" s="57">
        <f>+('2nd Year CF'!D9*(1-$B$44/90))+(C9*$B$44/90)</f>
        <v>0</v>
      </c>
      <c r="E10" s="57">
        <f>+('2nd Year CF'!E9*(1-$B$44/90))+(D9*$B$44/90)</f>
        <v>0</v>
      </c>
      <c r="F10" s="70">
        <f>SUM(B10:E10)</f>
        <v>0</v>
      </c>
    </row>
    <row r="11" spans="1:6" ht="12.75">
      <c r="A11" s="66" t="s">
        <v>44</v>
      </c>
      <c r="B11" s="57">
        <f>B8+B10-B9</f>
        <v>56439</v>
      </c>
      <c r="C11" s="57">
        <f>C8+C10-C9</f>
        <v>56438</v>
      </c>
      <c r="D11" s="57">
        <f>D8+D10-D9</f>
        <v>56438</v>
      </c>
      <c r="E11" s="57">
        <f>E8+E10-E9</f>
        <v>56438</v>
      </c>
      <c r="F11" s="70">
        <f>SUM(B11:E11)</f>
        <v>225753</v>
      </c>
    </row>
    <row r="12" spans="1:6" ht="12.75">
      <c r="A12" s="63"/>
      <c r="B12" s="57"/>
      <c r="C12" s="57"/>
      <c r="D12" s="57"/>
      <c r="E12" s="57"/>
      <c r="F12" s="70"/>
    </row>
    <row r="13" spans="1:6" ht="12.75">
      <c r="A13" s="66" t="s">
        <v>45</v>
      </c>
      <c r="B13" s="57"/>
      <c r="C13" s="57"/>
      <c r="D13" s="57"/>
      <c r="E13" s="57"/>
      <c r="F13" s="70" t="s">
        <v>93</v>
      </c>
    </row>
    <row r="14" spans="1:28" ht="12.75">
      <c r="A14" s="63" t="s">
        <v>46</v>
      </c>
      <c r="B14" s="184">
        <v>0</v>
      </c>
      <c r="C14" s="184">
        <v>0</v>
      </c>
      <c r="D14" s="184">
        <v>0</v>
      </c>
      <c r="E14" s="184">
        <v>0</v>
      </c>
      <c r="F14" s="70">
        <f>SUM(B14:E14)</f>
        <v>0</v>
      </c>
      <c r="O14" s="10"/>
      <c r="P14" s="10"/>
      <c r="Q14" s="10"/>
      <c r="R14" s="10"/>
      <c r="S14" s="10"/>
      <c r="T14" s="10"/>
      <c r="U14" s="10"/>
      <c r="V14" s="10"/>
      <c r="W14" s="10"/>
      <c r="X14" s="10"/>
      <c r="Y14" s="10"/>
      <c r="Z14" s="10"/>
      <c r="AA14" s="10"/>
      <c r="AB14" s="10"/>
    </row>
    <row r="15" spans="1:28" ht="12.75">
      <c r="A15" s="63" t="s">
        <v>47</v>
      </c>
      <c r="B15" s="184">
        <f>I18</f>
        <v>0</v>
      </c>
      <c r="C15" s="184">
        <v>0</v>
      </c>
      <c r="D15" s="184">
        <v>0</v>
      </c>
      <c r="E15" s="184">
        <v>0</v>
      </c>
      <c r="F15" s="70">
        <f>SUM(B15:E15)</f>
        <v>0</v>
      </c>
      <c r="O15" s="10"/>
      <c r="P15" s="10"/>
      <c r="Q15" s="10"/>
      <c r="R15" s="10"/>
      <c r="S15" s="10"/>
      <c r="T15" s="10"/>
      <c r="U15" s="10"/>
      <c r="V15" s="10"/>
      <c r="W15" s="10"/>
      <c r="X15" s="10"/>
      <c r="Y15" s="10"/>
      <c r="Z15" s="10"/>
      <c r="AA15" s="10"/>
      <c r="AB15" s="10"/>
    </row>
    <row r="16" spans="1:28" ht="12.75">
      <c r="A16" s="63" t="s">
        <v>48</v>
      </c>
      <c r="B16" s="184">
        <v>0</v>
      </c>
      <c r="C16" s="184">
        <v>0</v>
      </c>
      <c r="D16" s="184">
        <v>0</v>
      </c>
      <c r="E16" s="184">
        <v>0</v>
      </c>
      <c r="F16" s="70">
        <f>SUM(B16:E16)</f>
        <v>0</v>
      </c>
      <c r="O16" s="10"/>
      <c r="P16" s="118"/>
      <c r="Q16" s="10"/>
      <c r="R16" s="10"/>
      <c r="S16" s="10"/>
      <c r="T16" s="10"/>
      <c r="U16" s="10"/>
      <c r="V16" s="10"/>
      <c r="W16" s="10"/>
      <c r="X16" s="10"/>
      <c r="Y16" s="10"/>
      <c r="Z16" s="10"/>
      <c r="AA16" s="10"/>
      <c r="AB16" s="10"/>
    </row>
    <row r="17" spans="1:28" ht="12.75">
      <c r="A17" s="66" t="s">
        <v>49</v>
      </c>
      <c r="B17" s="57">
        <f>B11+SUM(B14:B16)</f>
        <v>56439</v>
      </c>
      <c r="C17" s="57">
        <f>C11+SUM(C14:C16)</f>
        <v>56438</v>
      </c>
      <c r="D17" s="57">
        <f>D11+SUM(D14:D16)</f>
        <v>56438</v>
      </c>
      <c r="E17" s="57">
        <f>E11+SUM(E14:E16)</f>
        <v>56438</v>
      </c>
      <c r="F17" s="70">
        <f>SUM(B17:E17)</f>
        <v>225753</v>
      </c>
      <c r="O17" s="10"/>
      <c r="P17" s="118"/>
      <c r="Q17" s="10"/>
      <c r="R17" s="10"/>
      <c r="S17" s="10"/>
      <c r="T17" s="10"/>
      <c r="U17" s="10"/>
      <c r="V17" s="10"/>
      <c r="W17" s="10"/>
      <c r="X17" s="10"/>
      <c r="Y17" s="10"/>
      <c r="Z17" s="10"/>
      <c r="AA17" s="10"/>
      <c r="AB17" s="10"/>
    </row>
    <row r="18" spans="1:28" ht="12.75">
      <c r="A18" s="63"/>
      <c r="B18" s="57"/>
      <c r="C18" s="57"/>
      <c r="D18" s="57"/>
      <c r="E18" s="57"/>
      <c r="F18" s="70"/>
      <c r="O18" s="10"/>
      <c r="P18" s="10"/>
      <c r="Q18" s="10"/>
      <c r="R18" s="10"/>
      <c r="S18" s="10"/>
      <c r="T18" s="10"/>
      <c r="U18" s="10"/>
      <c r="V18" s="10"/>
      <c r="W18" s="10"/>
      <c r="X18" s="10"/>
      <c r="Y18" s="10"/>
      <c r="Z18" s="10"/>
      <c r="AA18" s="10"/>
      <c r="AB18" s="10"/>
    </row>
    <row r="19" spans="1:28" ht="12.75">
      <c r="A19" s="66" t="s">
        <v>50</v>
      </c>
      <c r="B19" s="57"/>
      <c r="C19" s="57"/>
      <c r="D19" s="57"/>
      <c r="E19" s="57"/>
      <c r="F19" s="70"/>
      <c r="O19" s="10"/>
      <c r="P19" s="10"/>
      <c r="Q19" s="10"/>
      <c r="R19" s="10"/>
      <c r="S19" s="10"/>
      <c r="T19" s="10"/>
      <c r="U19" s="10"/>
      <c r="V19" s="10"/>
      <c r="W19" s="10"/>
      <c r="X19" s="10"/>
      <c r="Y19" s="10"/>
      <c r="Z19" s="10"/>
      <c r="AA19" s="10"/>
      <c r="AB19" s="10"/>
    </row>
    <row r="20" spans="1:31" ht="12.75">
      <c r="A20" s="66" t="s">
        <v>51</v>
      </c>
      <c r="B20" s="57"/>
      <c r="C20" s="57"/>
      <c r="D20" s="57"/>
      <c r="E20" s="57"/>
      <c r="F20" s="70"/>
      <c r="O20" s="10"/>
      <c r="P20" s="10"/>
      <c r="Q20" s="10"/>
      <c r="R20" s="10"/>
      <c r="T20" s="10"/>
      <c r="U20" s="10"/>
      <c r="V20" s="10"/>
      <c r="X20" s="10"/>
      <c r="Y20" s="10"/>
      <c r="Z20" s="10"/>
      <c r="AB20" s="10"/>
      <c r="AC20" s="10"/>
      <c r="AD20" s="10"/>
      <c r="AE20" s="10"/>
    </row>
    <row r="21" spans="1:32" ht="12.75">
      <c r="A21" s="63" t="s">
        <v>309</v>
      </c>
      <c r="B21" s="57">
        <f>'2nd Year IS'!B10</f>
        <v>19754</v>
      </c>
      <c r="C21" s="57">
        <f>'2nd Year IS'!C10</f>
        <v>19753</v>
      </c>
      <c r="D21" s="57">
        <f>'2nd Year IS'!D10</f>
        <v>19753</v>
      </c>
      <c r="E21" s="57">
        <f>'2nd Year IS'!E10</f>
        <v>19753</v>
      </c>
      <c r="F21" s="70">
        <f aca="true" t="shared" si="0" ref="F21:F33">SUM(B21:E21)</f>
        <v>79013</v>
      </c>
      <c r="O21" s="119"/>
      <c r="P21" s="118"/>
      <c r="Q21" s="118"/>
      <c r="R21" s="118"/>
      <c r="S21" s="121"/>
      <c r="T21" s="118"/>
      <c r="U21" s="118"/>
      <c r="V21" s="118"/>
      <c r="W21" s="121"/>
      <c r="X21" s="118"/>
      <c r="Y21" s="118"/>
      <c r="Z21" s="118"/>
      <c r="AA21" s="121"/>
      <c r="AB21" s="118"/>
      <c r="AC21" s="118"/>
      <c r="AD21" s="118"/>
      <c r="AE21" s="121"/>
      <c r="AF21" s="118"/>
    </row>
    <row r="22" spans="1:32" ht="12.75">
      <c r="A22" s="63" t="s">
        <v>310</v>
      </c>
      <c r="B22" s="57">
        <f>+$B$45*B21</f>
        <v>14815.5</v>
      </c>
      <c r="C22" s="57">
        <f>+$B$45*C21</f>
        <v>14814.75</v>
      </c>
      <c r="D22" s="57">
        <f>+$B$45*D21</f>
        <v>14814.75</v>
      </c>
      <c r="E22" s="57">
        <f>+$B$45*E21</f>
        <v>14814.75</v>
      </c>
      <c r="F22" s="70">
        <f>SUM(B22:E22)</f>
        <v>59259.75</v>
      </c>
      <c r="O22" s="119"/>
      <c r="P22" s="118"/>
      <c r="Q22" s="118"/>
      <c r="R22" s="118"/>
      <c r="S22" s="121"/>
      <c r="T22" s="118"/>
      <c r="U22" s="118"/>
      <c r="V22" s="118"/>
      <c r="W22" s="121"/>
      <c r="X22" s="118"/>
      <c r="Y22" s="118"/>
      <c r="Z22" s="118"/>
      <c r="AA22" s="121"/>
      <c r="AB22" s="118"/>
      <c r="AC22" s="118"/>
      <c r="AD22" s="118"/>
      <c r="AE22" s="121"/>
      <c r="AF22" s="118"/>
    </row>
    <row r="23" spans="1:32" ht="12.75">
      <c r="A23" s="63" t="s">
        <v>311</v>
      </c>
      <c r="B23" s="57">
        <f>('1st Year BS'!I9+(+B22*(1-$B$46/90)))</f>
        <v>13663.183333333334</v>
      </c>
      <c r="C23" s="57">
        <f>+C22*(1-$B$46/90)+(B22*$B$46/90)</f>
        <v>14814.808333333334</v>
      </c>
      <c r="D23" s="57">
        <f>+D22*(1-$B$46/90)+(C22*$B$46/90)</f>
        <v>14814.75</v>
      </c>
      <c r="E23" s="57">
        <f>+E22*(1-$B$46/90)+(D22*$B$46/90)</f>
        <v>14814.75</v>
      </c>
      <c r="F23" s="70">
        <f>SUM(B23:E23)</f>
        <v>58107.49166666667</v>
      </c>
      <c r="O23" s="119"/>
      <c r="P23" s="118"/>
      <c r="Q23" s="118"/>
      <c r="R23" s="118"/>
      <c r="S23" s="121"/>
      <c r="T23" s="118"/>
      <c r="U23" s="118"/>
      <c r="V23" s="118"/>
      <c r="W23" s="121"/>
      <c r="X23" s="118"/>
      <c r="Y23" s="118"/>
      <c r="Z23" s="118"/>
      <c r="AA23" s="121"/>
      <c r="AB23" s="118"/>
      <c r="AC23" s="118"/>
      <c r="AD23" s="118"/>
      <c r="AE23" s="121"/>
      <c r="AF23" s="118"/>
    </row>
    <row r="24" spans="1:32" ht="12.75">
      <c r="A24" s="266" t="s">
        <v>312</v>
      </c>
      <c r="B24" s="57">
        <f>+B21+B23-B22</f>
        <v>18601.683333333334</v>
      </c>
      <c r="C24" s="57">
        <f>+C21+C23-C22</f>
        <v>19753.058333333334</v>
      </c>
      <c r="D24" s="57">
        <f>+D21+D23-D22</f>
        <v>19753</v>
      </c>
      <c r="E24" s="57">
        <f>+E21+E23-E22</f>
        <v>19753</v>
      </c>
      <c r="F24" s="70">
        <f>SUM(B24:E24)</f>
        <v>77860.74166666667</v>
      </c>
      <c r="O24" s="119"/>
      <c r="P24" s="118"/>
      <c r="Q24" s="118"/>
      <c r="R24" s="118"/>
      <c r="S24" s="121"/>
      <c r="T24" s="118"/>
      <c r="U24" s="118"/>
      <c r="V24" s="118"/>
      <c r="W24" s="121"/>
      <c r="X24" s="118"/>
      <c r="Y24" s="118"/>
      <c r="Z24" s="118"/>
      <c r="AA24" s="121"/>
      <c r="AB24" s="118"/>
      <c r="AC24" s="118"/>
      <c r="AD24" s="118"/>
      <c r="AE24" s="121"/>
      <c r="AF24" s="118"/>
    </row>
    <row r="25" spans="1:32" ht="12.75">
      <c r="A25" s="63" t="s">
        <v>52</v>
      </c>
      <c r="B25" s="57">
        <f>+'2nd Year IS'!B15+'2nd Year IS'!B17+'2nd Year IS'!B18+'2nd Year IS'!B20+'2nd Year IS'!B22+'2nd Year IS'!B23+'2nd Year IS'!B24+'2nd Year IS'!B25+'2nd Year IS'!B26+'2nd Year IS'!B27</f>
        <v>7900</v>
      </c>
      <c r="C25" s="57">
        <f>+'2nd Year IS'!C15+'2nd Year IS'!C17+'2nd Year IS'!C18+'2nd Year IS'!C20+'2nd Year IS'!C22+'2nd Year IS'!C23+'2nd Year IS'!C24+'2nd Year IS'!C25+'2nd Year IS'!C26+'2nd Year IS'!C27</f>
        <v>7900</v>
      </c>
      <c r="D25" s="57">
        <f>+'2nd Year IS'!D15+'2nd Year IS'!D17+'2nd Year IS'!D18+'2nd Year IS'!D20+'2nd Year IS'!D22+'2nd Year IS'!D23+'2nd Year IS'!D24+'2nd Year IS'!D25+'2nd Year IS'!D26+'2nd Year IS'!D27</f>
        <v>7900</v>
      </c>
      <c r="E25" s="57">
        <f>+'2nd Year IS'!E15+'2nd Year IS'!E17+'2nd Year IS'!E18+'2nd Year IS'!E20+'2nd Year IS'!E22+'2nd Year IS'!E23+'2nd Year IS'!E24+'2nd Year IS'!E25+'2nd Year IS'!E26+'2nd Year IS'!E27</f>
        <v>7905</v>
      </c>
      <c r="F25" s="70">
        <f t="shared" si="0"/>
        <v>31605</v>
      </c>
      <c r="O25" s="120"/>
      <c r="P25" s="118"/>
      <c r="Q25" s="118"/>
      <c r="R25" s="118"/>
      <c r="S25" s="121"/>
      <c r="T25" s="118"/>
      <c r="U25" s="118"/>
      <c r="V25" s="118"/>
      <c r="W25" s="121"/>
      <c r="X25" s="118"/>
      <c r="Y25" s="118"/>
      <c r="Z25" s="118"/>
      <c r="AA25" s="121"/>
      <c r="AB25" s="118"/>
      <c r="AC25" s="118"/>
      <c r="AD25" s="118"/>
      <c r="AE25" s="121"/>
      <c r="AF25" s="118"/>
    </row>
    <row r="26" spans="1:32" ht="12.75">
      <c r="A26" s="63" t="s">
        <v>53</v>
      </c>
      <c r="B26" s="57">
        <f>+'2nd Year IS'!B14+'2nd Year IS'!B16</f>
        <v>15408</v>
      </c>
      <c r="C26" s="57">
        <f>+'2nd Year IS'!C14+'2nd Year IS'!C16</f>
        <v>15408</v>
      </c>
      <c r="D26" s="57">
        <f>+'2nd Year IS'!D14+'2nd Year IS'!D16</f>
        <v>15408</v>
      </c>
      <c r="E26" s="57">
        <f>+'2nd Year IS'!E14+'2nd Year IS'!E16</f>
        <v>15408</v>
      </c>
      <c r="F26" s="70">
        <f t="shared" si="0"/>
        <v>61632</v>
      </c>
      <c r="O26" s="119"/>
      <c r="P26" s="118"/>
      <c r="Q26" s="118"/>
      <c r="R26" s="118"/>
      <c r="S26" s="121"/>
      <c r="T26" s="118"/>
      <c r="U26" s="118"/>
      <c r="V26" s="118"/>
      <c r="W26" s="121"/>
      <c r="X26" s="118"/>
      <c r="Y26" s="118"/>
      <c r="Z26" s="118"/>
      <c r="AA26" s="121"/>
      <c r="AB26" s="118"/>
      <c r="AC26" s="118"/>
      <c r="AD26" s="118"/>
      <c r="AE26" s="121"/>
      <c r="AF26" s="118"/>
    </row>
    <row r="27" spans="1:32" ht="12.75">
      <c r="A27" s="63" t="s">
        <v>195</v>
      </c>
      <c r="B27" s="57">
        <f>+'2nd Year IS'!B31</f>
        <v>1866.8000000000002</v>
      </c>
      <c r="C27" s="57">
        <f>+'2nd Year IS'!C31</f>
        <v>1875.4</v>
      </c>
      <c r="D27" s="57">
        <f>+'2nd Year IS'!D31</f>
        <v>1884</v>
      </c>
      <c r="E27" s="57">
        <f>+'2nd Year IS'!E31</f>
        <v>1892</v>
      </c>
      <c r="F27" s="70">
        <f t="shared" si="0"/>
        <v>7518.200000000001</v>
      </c>
      <c r="O27" s="119"/>
      <c r="P27" s="118"/>
      <c r="Q27" s="118"/>
      <c r="R27" s="118"/>
      <c r="S27" s="121"/>
      <c r="T27" s="118"/>
      <c r="U27" s="118"/>
      <c r="V27" s="118"/>
      <c r="W27" s="121"/>
      <c r="X27" s="118"/>
      <c r="Y27" s="118"/>
      <c r="Z27" s="118"/>
      <c r="AA27" s="121"/>
      <c r="AB27" s="118"/>
      <c r="AC27" s="118"/>
      <c r="AD27" s="118"/>
      <c r="AE27" s="121"/>
      <c r="AF27" s="118"/>
    </row>
    <row r="28" spans="1:32" ht="12.75">
      <c r="A28" s="63" t="s">
        <v>107</v>
      </c>
      <c r="B28" s="13">
        <f>SUM('Pmt Schedule'!E22:E24)</f>
        <v>2101</v>
      </c>
      <c r="C28" s="13">
        <f>SUM('Pmt Schedule'!E25:E27)</f>
        <v>2144</v>
      </c>
      <c r="D28" s="13">
        <f>SUM('Pmt Schedule'!E28:E30)</f>
        <v>2187</v>
      </c>
      <c r="E28" s="13">
        <f>SUM('Pmt Schedule'!E31:E33)</f>
        <v>2232</v>
      </c>
      <c r="F28" s="70">
        <f t="shared" si="0"/>
        <v>8664</v>
      </c>
      <c r="O28" s="119"/>
      <c r="P28" s="118"/>
      <c r="Q28" s="118"/>
      <c r="R28" s="118"/>
      <c r="S28" s="121"/>
      <c r="T28" s="118"/>
      <c r="U28" s="118"/>
      <c r="V28" s="118"/>
      <c r="W28" s="121"/>
      <c r="X28" s="118"/>
      <c r="Y28" s="118"/>
      <c r="Z28" s="118"/>
      <c r="AA28" s="121"/>
      <c r="AB28" s="118"/>
      <c r="AC28" s="118"/>
      <c r="AD28" s="118"/>
      <c r="AE28" s="121"/>
      <c r="AF28" s="118"/>
    </row>
    <row r="29" spans="1:32" ht="12.75">
      <c r="A29" s="63" t="s">
        <v>108</v>
      </c>
      <c r="B29" s="57">
        <f>+'2nd Year IS'!B21</f>
        <v>1268</v>
      </c>
      <c r="C29" s="57">
        <f>+'2nd Year IS'!C21</f>
        <v>1225</v>
      </c>
      <c r="D29" s="57">
        <f>+'2nd Year IS'!D21</f>
        <v>1182</v>
      </c>
      <c r="E29" s="57">
        <f>+'2nd Year IS'!E21</f>
        <v>1137</v>
      </c>
      <c r="F29" s="70">
        <f t="shared" si="0"/>
        <v>4812</v>
      </c>
      <c r="O29" s="119"/>
      <c r="P29" s="118"/>
      <c r="Q29" s="118"/>
      <c r="R29" s="118"/>
      <c r="S29" s="121"/>
      <c r="T29" s="118"/>
      <c r="U29" s="118"/>
      <c r="V29" s="118"/>
      <c r="W29" s="121"/>
      <c r="X29" s="118"/>
      <c r="Y29" s="118"/>
      <c r="Z29" s="118"/>
      <c r="AA29" s="121"/>
      <c r="AB29" s="118"/>
      <c r="AC29" s="118"/>
      <c r="AD29" s="118"/>
      <c r="AE29" s="121"/>
      <c r="AF29" s="118"/>
    </row>
    <row r="30" spans="1:6" ht="12.75">
      <c r="A30" s="63" t="s">
        <v>67</v>
      </c>
      <c r="B30" s="184">
        <f>I18</f>
        <v>0</v>
      </c>
      <c r="C30" s="184">
        <v>0</v>
      </c>
      <c r="D30" s="184">
        <v>0</v>
      </c>
      <c r="E30" s="184">
        <v>0</v>
      </c>
      <c r="F30" s="70">
        <f t="shared" si="0"/>
        <v>0</v>
      </c>
    </row>
    <row r="31" spans="1:6" ht="12.75">
      <c r="A31" s="63" t="s">
        <v>304</v>
      </c>
      <c r="B31" s="184">
        <v>0</v>
      </c>
      <c r="C31" s="184">
        <v>0</v>
      </c>
      <c r="D31" s="184">
        <v>0</v>
      </c>
      <c r="E31" s="184">
        <v>0</v>
      </c>
      <c r="F31" s="70">
        <f t="shared" si="0"/>
        <v>0</v>
      </c>
    </row>
    <row r="32" spans="1:6" ht="12.75">
      <c r="A32" s="63" t="s">
        <v>200</v>
      </c>
      <c r="B32" s="184">
        <v>0</v>
      </c>
      <c r="C32" s="184">
        <v>0</v>
      </c>
      <c r="D32" s="184">
        <v>0</v>
      </c>
      <c r="E32" s="184">
        <v>0</v>
      </c>
      <c r="F32" s="70">
        <f t="shared" si="0"/>
        <v>0</v>
      </c>
    </row>
    <row r="33" spans="1:7" ht="12.75">
      <c r="A33" s="63" t="s">
        <v>54</v>
      </c>
      <c r="B33" s="184">
        <v>4500</v>
      </c>
      <c r="C33" s="184">
        <v>4500</v>
      </c>
      <c r="D33" s="184">
        <v>4500</v>
      </c>
      <c r="E33" s="184">
        <v>4500</v>
      </c>
      <c r="F33" s="70">
        <f t="shared" si="0"/>
        <v>18000</v>
      </c>
      <c r="G33" s="317"/>
    </row>
    <row r="34" spans="1:6" ht="13.5" thickBot="1">
      <c r="A34" s="66" t="s">
        <v>55</v>
      </c>
      <c r="B34" s="350">
        <f>SUM(B24:B33)</f>
        <v>51645.48333333334</v>
      </c>
      <c r="C34" s="350">
        <f>SUM(C24:C33)</f>
        <v>52805.458333333336</v>
      </c>
      <c r="D34" s="350">
        <f>SUM(D24:D33)</f>
        <v>52814</v>
      </c>
      <c r="E34" s="350">
        <f>SUM(E24:E33)</f>
        <v>52827</v>
      </c>
      <c r="F34" s="351">
        <f>SUM(B34:E34)</f>
        <v>210091.94166666668</v>
      </c>
    </row>
    <row r="35" spans="1:6" ht="13.5" thickTop="1">
      <c r="A35" s="66" t="s">
        <v>56</v>
      </c>
      <c r="B35" s="57">
        <f>B17-B34</f>
        <v>4793.516666666663</v>
      </c>
      <c r="C35" s="57">
        <f>C17-C34</f>
        <v>3632.5416666666642</v>
      </c>
      <c r="D35" s="57">
        <f>D17-D34</f>
        <v>3624</v>
      </c>
      <c r="E35" s="57">
        <f>E17-E34</f>
        <v>3611</v>
      </c>
      <c r="F35" s="70">
        <f>F17-F34</f>
        <v>15661.05833333332</v>
      </c>
    </row>
    <row r="36" spans="1:6" ht="12.75">
      <c r="A36" s="66"/>
      <c r="B36" s="57"/>
      <c r="C36" s="57"/>
      <c r="D36" s="57"/>
      <c r="E36" s="57"/>
      <c r="F36" s="70"/>
    </row>
    <row r="37" spans="1:6" ht="12.75">
      <c r="A37" s="63" t="s">
        <v>57</v>
      </c>
      <c r="B37" s="57">
        <f>'1st year Cash Flow'!N39</f>
        <v>37253.59999999998</v>
      </c>
      <c r="C37" s="57">
        <f>B40</f>
        <v>42047.11666666664</v>
      </c>
      <c r="D37" s="57">
        <f>C40</f>
        <v>45679.658333333304</v>
      </c>
      <c r="E37" s="57">
        <f>D40</f>
        <v>49303.6583333333</v>
      </c>
      <c r="F37" s="70">
        <f>B37</f>
        <v>37253.59999999998</v>
      </c>
    </row>
    <row r="38" spans="1:6" ht="12.75">
      <c r="A38" s="63" t="s">
        <v>41</v>
      </c>
      <c r="B38" s="57">
        <f>B17</f>
        <v>56439</v>
      </c>
      <c r="C38" s="57">
        <f>C17</f>
        <v>56438</v>
      </c>
      <c r="D38" s="57">
        <f>D17</f>
        <v>56438</v>
      </c>
      <c r="E38" s="57">
        <f>E17</f>
        <v>56438</v>
      </c>
      <c r="F38" s="70">
        <f>F17</f>
        <v>225753</v>
      </c>
    </row>
    <row r="39" spans="1:6" ht="12.75">
      <c r="A39" s="63" t="s">
        <v>50</v>
      </c>
      <c r="B39" s="57">
        <f>B34</f>
        <v>51645.48333333334</v>
      </c>
      <c r="C39" s="57">
        <f>C34</f>
        <v>52805.458333333336</v>
      </c>
      <c r="D39" s="57">
        <f>D34</f>
        <v>52814</v>
      </c>
      <c r="E39" s="57">
        <f>E34</f>
        <v>52827</v>
      </c>
      <c r="F39" s="70">
        <f>F34</f>
        <v>210091.94166666668</v>
      </c>
    </row>
    <row r="40" spans="1:6" ht="12.75">
      <c r="A40" s="67" t="s">
        <v>58</v>
      </c>
      <c r="B40" s="352">
        <f>B37+B38-B39</f>
        <v>42047.11666666664</v>
      </c>
      <c r="C40" s="352">
        <f>C37+C38-C39</f>
        <v>45679.658333333304</v>
      </c>
      <c r="D40" s="352">
        <f>D37+D38-D39</f>
        <v>49303.6583333333</v>
      </c>
      <c r="E40" s="352">
        <f>E37+E38-E39</f>
        <v>52914.6583333333</v>
      </c>
      <c r="F40" s="353">
        <f>F37+F38-F39</f>
        <v>52914.6583333333</v>
      </c>
    </row>
    <row r="41" spans="1:6" ht="12.75">
      <c r="A41" s="82"/>
      <c r="B41" s="57"/>
      <c r="C41" s="57"/>
      <c r="D41" s="57"/>
      <c r="E41" s="57"/>
      <c r="F41" s="33"/>
    </row>
    <row r="42" ht="12.75">
      <c r="A42" s="137" t="s">
        <v>105</v>
      </c>
    </row>
    <row r="43" spans="1:2" ht="12.75">
      <c r="A43" t="s">
        <v>75</v>
      </c>
      <c r="B43" s="183">
        <v>0</v>
      </c>
    </row>
    <row r="44" spans="1:2" ht="12.75">
      <c r="A44" t="s">
        <v>203</v>
      </c>
      <c r="B44" s="210">
        <v>0</v>
      </c>
    </row>
    <row r="45" spans="1:2" ht="12.75">
      <c r="A45" t="s">
        <v>313</v>
      </c>
      <c r="B45" s="303">
        <v>0.75</v>
      </c>
    </row>
    <row r="46" spans="1:2" ht="12.75">
      <c r="A46" t="s">
        <v>314</v>
      </c>
      <c r="B46" s="304">
        <v>7</v>
      </c>
    </row>
    <row r="48" ht="12.75">
      <c r="B48" s="31" t="s">
        <v>348</v>
      </c>
    </row>
    <row r="49" ht="12.75">
      <c r="B49" s="31" t="s">
        <v>355</v>
      </c>
    </row>
    <row r="50" ht="12.75">
      <c r="B50" s="31" t="s">
        <v>346</v>
      </c>
    </row>
    <row r="51" ht="12.75">
      <c r="B51" s="31" t="s">
        <v>347</v>
      </c>
    </row>
    <row r="68" spans="2:5" ht="12.75">
      <c r="B68" s="31">
        <v>15</v>
      </c>
      <c r="C68" s="31">
        <v>18</v>
      </c>
      <c r="D68" s="31">
        <v>21</v>
      </c>
      <c r="E68" s="31">
        <v>24</v>
      </c>
    </row>
  </sheetData>
  <mergeCells count="4">
    <mergeCell ref="A1:F1"/>
    <mergeCell ref="A2:F2"/>
    <mergeCell ref="A3:F3"/>
    <mergeCell ref="A4:F4"/>
  </mergeCells>
  <printOptions horizontalCentered="1"/>
  <pageMargins left="1.14" right="1.11" top="1.51" bottom="0.84"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1.xml><?xml version="1.0" encoding="utf-8"?>
<worksheet xmlns="http://schemas.openxmlformats.org/spreadsheetml/2006/main" xmlns:r="http://schemas.openxmlformats.org/officeDocument/2006/relationships">
  <sheetPr codeName="Sheet7"/>
  <dimension ref="A1:I43"/>
  <sheetViews>
    <sheetView workbookViewId="0" topLeftCell="A10">
      <selection activeCell="A1" sqref="A1:I1"/>
    </sheetView>
  </sheetViews>
  <sheetFormatPr defaultColWidth="9.140625" defaultRowHeight="12.75"/>
  <cols>
    <col min="1" max="1" width="3.28125" style="34" customWidth="1"/>
    <col min="2" max="2" width="9.140625" style="34" customWidth="1"/>
    <col min="3" max="3" width="15.57421875" style="34" customWidth="1"/>
    <col min="4" max="4" width="11.421875" style="34" customWidth="1"/>
    <col min="5" max="5" width="3.57421875" style="34" customWidth="1"/>
    <col min="6" max="6" width="4.8515625" style="34" customWidth="1"/>
    <col min="7" max="7" width="12.57421875" style="34" customWidth="1"/>
    <col min="8" max="8" width="17.8515625" style="34" customWidth="1"/>
    <col min="9" max="9" width="8.7109375" style="34" customWidth="1"/>
    <col min="10" max="16384" width="9.140625" style="34" customWidth="1"/>
  </cols>
  <sheetData>
    <row r="1" spans="1:9" ht="15.75">
      <c r="A1" s="436" t="str">
        <f>'B Balance sheet'!A1</f>
        <v>Speedy B's LLC - NEW</v>
      </c>
      <c r="B1" s="437"/>
      <c r="C1" s="437"/>
      <c r="D1" s="437"/>
      <c r="E1" s="437"/>
      <c r="F1" s="437"/>
      <c r="G1" s="437"/>
      <c r="H1" s="437"/>
      <c r="I1" s="438"/>
    </row>
    <row r="2" spans="1:9" ht="15.75">
      <c r="A2" s="439" t="s">
        <v>0</v>
      </c>
      <c r="B2" s="440"/>
      <c r="C2" s="440"/>
      <c r="D2" s="440"/>
      <c r="E2" s="440"/>
      <c r="F2" s="440"/>
      <c r="G2" s="440"/>
      <c r="H2" s="440"/>
      <c r="I2" s="441"/>
    </row>
    <row r="3" spans="1:9" ht="15.75">
      <c r="A3" s="439" t="s">
        <v>145</v>
      </c>
      <c r="B3" s="440"/>
      <c r="C3" s="440"/>
      <c r="D3" s="440"/>
      <c r="E3" s="440"/>
      <c r="F3" s="440"/>
      <c r="G3" s="440"/>
      <c r="H3" s="440"/>
      <c r="I3" s="441"/>
    </row>
    <row r="4" spans="1:9" ht="15.75">
      <c r="A4" s="442">
        <f>'2nd Year IS'!A4:F4</f>
        <v>39691</v>
      </c>
      <c r="B4" s="443"/>
      <c r="C4" s="443"/>
      <c r="D4" s="443"/>
      <c r="E4" s="443"/>
      <c r="F4" s="443"/>
      <c r="G4" s="443"/>
      <c r="H4" s="443"/>
      <c r="I4" s="417"/>
    </row>
    <row r="5" spans="1:9" ht="12.75">
      <c r="A5" s="106"/>
      <c r="B5" s="107"/>
      <c r="C5" s="107"/>
      <c r="D5" s="107"/>
      <c r="E5" s="107"/>
      <c r="F5" s="107"/>
      <c r="G5" s="107"/>
      <c r="H5" s="107"/>
      <c r="I5" s="108"/>
    </row>
    <row r="6" spans="1:9" ht="12.75">
      <c r="A6" s="71" t="str">
        <f>'1st Year BS'!A6</f>
        <v>ASSETS</v>
      </c>
      <c r="B6" s="72"/>
      <c r="C6" s="72"/>
      <c r="D6" s="73"/>
      <c r="E6" s="73"/>
      <c r="F6" s="72" t="str">
        <f>'1st Year BS'!F6</f>
        <v>LIABILITIES</v>
      </c>
      <c r="G6" s="74"/>
      <c r="H6" s="37"/>
      <c r="I6" s="75"/>
    </row>
    <row r="7" spans="1:9" ht="12.75">
      <c r="A7" s="76" t="str">
        <f>'1st Year BS'!A7</f>
        <v>Current Assets</v>
      </c>
      <c r="B7" s="74"/>
      <c r="C7" s="74"/>
      <c r="D7" s="153"/>
      <c r="E7" s="74"/>
      <c r="F7" s="74" t="str">
        <f>'1st Year BS'!F7</f>
        <v>Current Liabilities</v>
      </c>
      <c r="G7" s="74"/>
      <c r="H7" s="37"/>
      <c r="I7" s="152"/>
    </row>
    <row r="8" spans="1:9" ht="12.75">
      <c r="A8" s="76"/>
      <c r="B8" s="74" t="str">
        <f>'1st Year BS'!B8</f>
        <v>Cash</v>
      </c>
      <c r="C8" s="74"/>
      <c r="D8" s="392">
        <f>'2nd Year CF'!F40</f>
        <v>52914.6583333333</v>
      </c>
      <c r="E8" s="392"/>
      <c r="F8" s="392"/>
      <c r="G8" s="392" t="s">
        <v>116</v>
      </c>
      <c r="H8" s="392"/>
      <c r="I8" s="393">
        <f>+SUM('Pmt Schedule'!E34:E45)</f>
        <v>9383</v>
      </c>
    </row>
    <row r="9" spans="1:9" ht="12.75">
      <c r="A9" s="76"/>
      <c r="B9" s="74" t="str">
        <f>'1st Year BS'!B9</f>
        <v>Inventory</v>
      </c>
      <c r="C9" s="74"/>
      <c r="D9" s="392">
        <f>+'1st Year BS'!D9+'2nd Year CF'!F32</f>
        <v>4500</v>
      </c>
      <c r="E9" s="392"/>
      <c r="F9" s="392"/>
      <c r="G9" s="392" t="str">
        <f>'1st Year BS'!G9</f>
        <v>Trade Payable</v>
      </c>
      <c r="H9" s="392"/>
      <c r="I9" s="393">
        <f>'1st Year BS'!I9-'2nd Year CF'!F31+('2nd Year CF'!F21-'2nd Year CF'!F24)</f>
        <v>1152.2583333333314</v>
      </c>
    </row>
    <row r="10" spans="1:9" ht="12.75">
      <c r="A10" s="76"/>
      <c r="B10" s="74" t="str">
        <f>'1st Year BS'!B10</f>
        <v>Account Receivable</v>
      </c>
      <c r="C10" s="74"/>
      <c r="D10" s="392">
        <f>'1st Year BS'!D10+'2nd Year CF'!F9-'2nd Year CF'!F10</f>
        <v>0</v>
      </c>
      <c r="E10" s="392"/>
      <c r="F10" s="392"/>
      <c r="G10" s="392" t="str">
        <f>'1st Year BS'!G10</f>
        <v>Accrued Salary</v>
      </c>
      <c r="H10" s="392"/>
      <c r="I10" s="393">
        <v>0</v>
      </c>
    </row>
    <row r="11" spans="1:9" ht="12.75">
      <c r="A11" s="76"/>
      <c r="B11" s="74" t="str">
        <f>'1st Year BS'!B11</f>
        <v>Excess Cash</v>
      </c>
      <c r="C11" s="74"/>
      <c r="D11" s="392">
        <f>+I26-D24</f>
        <v>0</v>
      </c>
      <c r="E11" s="392"/>
      <c r="F11" s="392"/>
      <c r="G11" s="392" t="str">
        <f>'1st Year BS'!G11</f>
        <v>Taxes Payable</v>
      </c>
      <c r="H11" s="392"/>
      <c r="I11" s="393">
        <v>0</v>
      </c>
    </row>
    <row r="12" spans="1:9" ht="12.75">
      <c r="A12" s="76"/>
      <c r="B12" s="74" t="str">
        <f>'1st Year BS'!B12</f>
        <v>Office Supplies</v>
      </c>
      <c r="C12" s="74"/>
      <c r="D12" s="392">
        <f>'1st Year BS'!D12</f>
        <v>0</v>
      </c>
      <c r="E12" s="392"/>
      <c r="F12" s="392"/>
      <c r="G12" s="392" t="str">
        <f>'1st Year BS'!G12</f>
        <v>Other</v>
      </c>
      <c r="H12" s="392"/>
      <c r="I12" s="393">
        <v>0</v>
      </c>
    </row>
    <row r="13" spans="1:9" ht="12.75">
      <c r="A13" s="76"/>
      <c r="B13" s="74" t="str">
        <f>'1st Year BS'!B13</f>
        <v>Prepaid Expenses / Deposits</v>
      </c>
      <c r="C13" s="74"/>
      <c r="D13" s="394">
        <f>'1st Year BS'!D13</f>
        <v>0</v>
      </c>
      <c r="E13" s="392"/>
      <c r="F13" s="392"/>
      <c r="G13" s="392"/>
      <c r="H13" s="392"/>
      <c r="I13" s="395"/>
    </row>
    <row r="14" spans="1:9" ht="12.75">
      <c r="A14" s="83" t="str">
        <f>'1st Year BS'!A14</f>
        <v>     Total Current Assets</v>
      </c>
      <c r="B14" s="74"/>
      <c r="C14" s="74"/>
      <c r="D14" s="392">
        <f>SUM(D8:D13)</f>
        <v>57414.6583333333</v>
      </c>
      <c r="E14" s="392"/>
      <c r="F14" s="396" t="str">
        <f>'1st Year BS'!F14</f>
        <v>   Total Current Liabilities</v>
      </c>
      <c r="G14" s="392"/>
      <c r="H14" s="392"/>
      <c r="I14" s="397">
        <f>SUM(I8:I12)</f>
        <v>10535.258333333331</v>
      </c>
    </row>
    <row r="15" spans="1:9" ht="12.75">
      <c r="A15" s="76"/>
      <c r="B15" s="74"/>
      <c r="C15" s="74"/>
      <c r="D15" s="392"/>
      <c r="E15" s="392"/>
      <c r="F15" s="392"/>
      <c r="G15" s="392"/>
      <c r="H15" s="392"/>
      <c r="I15" s="393"/>
    </row>
    <row r="16" spans="1:9" ht="12.75">
      <c r="A16" s="76"/>
      <c r="B16" s="74"/>
      <c r="C16" s="74"/>
      <c r="D16" s="392"/>
      <c r="E16" s="392"/>
      <c r="F16" s="392" t="str">
        <f>'1st Year BS'!F16</f>
        <v>Long Term Liabilities</v>
      </c>
      <c r="G16" s="392"/>
      <c r="H16" s="392"/>
      <c r="I16" s="393"/>
    </row>
    <row r="17" spans="1:9" ht="12.75">
      <c r="A17" s="76"/>
      <c r="B17" s="74" t="str">
        <f>'1st Year BS'!B17</f>
        <v>Land</v>
      </c>
      <c r="C17" s="74"/>
      <c r="D17" s="392">
        <f>'1st Year BS'!D17+'2nd Year CF'!I14</f>
        <v>0</v>
      </c>
      <c r="E17" s="392"/>
      <c r="F17" s="392"/>
      <c r="G17" s="392" t="s">
        <v>117</v>
      </c>
      <c r="H17" s="392"/>
      <c r="I17" s="393">
        <f>+'Pmt Schedule'!F33-'2nd Year BS'!I8</f>
        <v>45953</v>
      </c>
    </row>
    <row r="18" spans="1:9" ht="12.75">
      <c r="A18" s="76"/>
      <c r="B18" s="74" t="str">
        <f>'1st Year BS'!B18</f>
        <v>Buildings</v>
      </c>
      <c r="C18" s="74"/>
      <c r="D18" s="392">
        <f>'1st Year BS'!D18+'2nd Year CF'!I15</f>
        <v>0</v>
      </c>
      <c r="E18" s="392"/>
      <c r="F18" s="392"/>
      <c r="G18" s="392" t="str">
        <f>'1st Year BS'!G18</f>
        <v>Other</v>
      </c>
      <c r="H18" s="392"/>
      <c r="I18" s="393">
        <f>'1st Year BS'!I18</f>
        <v>0</v>
      </c>
    </row>
    <row r="19" spans="1:9" ht="12.75">
      <c r="A19" s="76"/>
      <c r="B19" s="74" t="str">
        <f>'1st Year BS'!B19</f>
        <v>Equipment</v>
      </c>
      <c r="C19" s="74"/>
      <c r="D19" s="392">
        <f>'1st Year BS'!D19+'2nd Year CF'!I16</f>
        <v>30000</v>
      </c>
      <c r="E19" s="392"/>
      <c r="F19" s="392" t="str">
        <f>'1st Year BS'!F19</f>
        <v>   Total Long Term Liabilities</v>
      </c>
      <c r="G19" s="392"/>
      <c r="H19" s="392"/>
      <c r="I19" s="395">
        <f>SUM(I17:I18)</f>
        <v>45953</v>
      </c>
    </row>
    <row r="20" spans="1:9" ht="12.75">
      <c r="A20" s="76"/>
      <c r="B20" s="74" t="str">
        <f>'1st Year BS'!B20</f>
        <v>Other Fixed Assets</v>
      </c>
      <c r="C20" s="74"/>
      <c r="D20" s="392">
        <f>'1st Year BS'!D20+'2nd Year CF'!I17</f>
        <v>25500</v>
      </c>
      <c r="E20" s="392"/>
      <c r="F20" s="392"/>
      <c r="G20" s="392"/>
      <c r="H20" s="392"/>
      <c r="I20" s="393"/>
    </row>
    <row r="21" spans="1:9" ht="12.75">
      <c r="A21" s="76"/>
      <c r="B21" s="74" t="str">
        <f>'1st Year BS'!B21</f>
        <v>Accum Depreciation</v>
      </c>
      <c r="C21" s="74"/>
      <c r="D21" s="398">
        <f>'1st Year BS'!D21-'2nd Year IS'!F19</f>
        <v>-22200</v>
      </c>
      <c r="E21" s="392"/>
      <c r="F21" s="399" t="str">
        <f>'1st Year BS'!F21</f>
        <v>Total Liabilities</v>
      </c>
      <c r="G21" s="392"/>
      <c r="H21" s="392"/>
      <c r="I21" s="393">
        <f>I14+I19</f>
        <v>56488.25833333333</v>
      </c>
    </row>
    <row r="22" spans="1:9" ht="12.75">
      <c r="A22" s="76" t="str">
        <f>'1st Year BS'!A22</f>
        <v> Total Net Fixed Assets</v>
      </c>
      <c r="B22" s="74"/>
      <c r="C22" s="74"/>
      <c r="D22" s="392">
        <f>SUM(D16:D21)</f>
        <v>33300</v>
      </c>
      <c r="E22" s="392"/>
      <c r="F22" s="400"/>
      <c r="G22" s="400"/>
      <c r="H22" s="400"/>
      <c r="I22" s="393"/>
    </row>
    <row r="23" spans="1:9" ht="12.75">
      <c r="A23" s="76"/>
      <c r="B23" s="74"/>
      <c r="C23" s="74"/>
      <c r="D23" s="392"/>
      <c r="E23" s="392"/>
      <c r="F23" s="399" t="str">
        <f>'1st Year BS'!F23</f>
        <v>OWNERS EQUITY</v>
      </c>
      <c r="G23" s="392"/>
      <c r="H23" s="392" t="s">
        <v>164</v>
      </c>
      <c r="I23" s="393">
        <f>-'2nd Year CF'!F33</f>
        <v>-18000</v>
      </c>
    </row>
    <row r="24" spans="1:9" ht="12.75">
      <c r="A24" s="76"/>
      <c r="B24" s="74"/>
      <c r="C24" s="74"/>
      <c r="D24" s="401">
        <f>+D8+D9+D10+D12+D13+D22</f>
        <v>90714.6583333333</v>
      </c>
      <c r="E24" s="392"/>
      <c r="F24" s="392"/>
      <c r="G24" s="392" t="str">
        <f>'1st Year BS'!G24</f>
        <v>Capital</v>
      </c>
      <c r="H24" s="400"/>
      <c r="I24" s="395">
        <f>+'1st Year BS'!I25+'2nd Year IS'!F32</f>
        <v>52226.399999999994</v>
      </c>
    </row>
    <row r="25" spans="1:9" ht="12.75">
      <c r="A25" s="76"/>
      <c r="B25" s="74"/>
      <c r="C25" s="74"/>
      <c r="D25" s="392"/>
      <c r="E25" s="392"/>
      <c r="F25" s="399" t="str">
        <f>'1st Year BS'!F25</f>
        <v>  Total Owners Equity</v>
      </c>
      <c r="G25" s="392"/>
      <c r="H25" s="392"/>
      <c r="I25" s="402">
        <f>SUM(I23:I24)</f>
        <v>34226.399999999994</v>
      </c>
    </row>
    <row r="26" spans="1:9" ht="13.5" thickBot="1">
      <c r="A26" s="81" t="str">
        <f>'1st Year BS'!A26</f>
        <v>Total Assets</v>
      </c>
      <c r="B26" s="72"/>
      <c r="C26" s="74"/>
      <c r="D26" s="403">
        <f>D14+D22</f>
        <v>90714.6583333333</v>
      </c>
      <c r="E26" s="392"/>
      <c r="F26" s="399" t="str">
        <f>'1st Year BS'!F26</f>
        <v>Total Liabilities and Owners Equity</v>
      </c>
      <c r="G26" s="392"/>
      <c r="H26" s="392"/>
      <c r="I26" s="404">
        <f>I21+I25</f>
        <v>90714.65833333333</v>
      </c>
    </row>
    <row r="27" spans="1:9" ht="13.5" thickTop="1">
      <c r="A27" s="109"/>
      <c r="B27" s="78"/>
      <c r="C27" s="78"/>
      <c r="D27" s="36"/>
      <c r="E27" s="36"/>
      <c r="F27" s="36"/>
      <c r="G27" s="36"/>
      <c r="H27" s="36"/>
      <c r="I27" s="77"/>
    </row>
    <row r="28" spans="1:8" ht="12.75">
      <c r="A28" s="35"/>
      <c r="D28" s="38"/>
      <c r="E28" s="39"/>
      <c r="F28" s="39"/>
      <c r="G28" s="40"/>
      <c r="H28" s="39"/>
    </row>
    <row r="29" spans="1:8" ht="12.75">
      <c r="A29" s="41"/>
      <c r="D29" s="39"/>
      <c r="E29" s="39"/>
      <c r="F29" s="42"/>
      <c r="G29" s="39"/>
      <c r="H29" s="42"/>
    </row>
    <row r="30" spans="4:8" ht="12.75">
      <c r="D30" s="39"/>
      <c r="E30" s="39"/>
      <c r="F30" s="42"/>
      <c r="G30" s="39"/>
      <c r="H30" s="42"/>
    </row>
    <row r="31" spans="4:8" ht="12.75">
      <c r="D31" s="39"/>
      <c r="E31" s="39"/>
      <c r="F31" s="42"/>
      <c r="G31" s="39"/>
      <c r="H31" s="42"/>
    </row>
    <row r="32" spans="4:8" ht="12.75">
      <c r="D32" s="39"/>
      <c r="E32" s="39"/>
      <c r="F32" s="42"/>
      <c r="G32" s="39"/>
      <c r="H32" s="42"/>
    </row>
    <row r="33" spans="4:8" ht="12.75">
      <c r="D33" s="39"/>
      <c r="E33" s="39"/>
      <c r="F33" s="42"/>
      <c r="G33" s="39"/>
      <c r="H33" s="42"/>
    </row>
    <row r="34" spans="4:8" ht="12.75">
      <c r="D34" s="39"/>
      <c r="E34" s="39"/>
      <c r="F34" s="42"/>
      <c r="G34" s="39"/>
      <c r="H34" s="42"/>
    </row>
    <row r="35" spans="4:8" ht="12.75">
      <c r="D35" s="39"/>
      <c r="E35" s="39"/>
      <c r="F35" s="42"/>
      <c r="G35" s="39"/>
      <c r="H35" s="42"/>
    </row>
    <row r="36" spans="4:8" ht="12.75">
      <c r="D36" s="39"/>
      <c r="E36" s="39"/>
      <c r="F36" s="42"/>
      <c r="G36" s="39"/>
      <c r="H36" s="42"/>
    </row>
    <row r="37" spans="4:8" ht="12.75">
      <c r="D37" s="39"/>
      <c r="E37" s="39"/>
      <c r="F37" s="42"/>
      <c r="G37" s="39"/>
      <c r="H37" s="42"/>
    </row>
    <row r="42" ht="12.75">
      <c r="I42" s="43"/>
    </row>
    <row r="43" ht="12.75">
      <c r="I43" s="43"/>
    </row>
  </sheetData>
  <mergeCells count="4">
    <mergeCell ref="A1:I1"/>
    <mergeCell ref="A3:I3"/>
    <mergeCell ref="A2:I2"/>
    <mergeCell ref="A4:I4"/>
  </mergeCells>
  <printOptions/>
  <pageMargins left="1.83" right="0.75" top="1.18"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A1:I28" unlockedFormula="1"/>
  </ignoredErrors>
</worksheet>
</file>

<file path=xl/worksheets/sheet12.xml><?xml version="1.0" encoding="utf-8"?>
<worksheet xmlns="http://schemas.openxmlformats.org/spreadsheetml/2006/main" xmlns:r="http://schemas.openxmlformats.org/officeDocument/2006/relationships">
  <sheetPr codeName="Sheet8"/>
  <dimension ref="A1:G66"/>
  <sheetViews>
    <sheetView showGridLines="0" workbookViewId="0" topLeftCell="A19">
      <selection activeCell="C39" sqref="C39"/>
    </sheetView>
  </sheetViews>
  <sheetFormatPr defaultColWidth="9.140625" defaultRowHeight="12.75"/>
  <cols>
    <col min="1" max="1" width="23.57421875" style="0" customWidth="1"/>
    <col min="2" max="2" width="14.00390625" style="44" customWidth="1"/>
    <col min="3" max="3" width="11.8515625" style="44" customWidth="1"/>
    <col min="4" max="4" width="11.140625" style="44" customWidth="1"/>
    <col min="5" max="5" width="11.7109375" style="44" customWidth="1"/>
    <col min="6" max="6" width="10.421875" style="44" customWidth="1"/>
    <col min="7" max="7" width="9.00390625" style="0" customWidth="1"/>
  </cols>
  <sheetData>
    <row r="1" spans="1:6" ht="15.75">
      <c r="A1" s="421" t="str">
        <f>'2nd Year IS'!A1:F1</f>
        <v>Speedy B's LLC - NEW</v>
      </c>
      <c r="B1" s="422"/>
      <c r="C1" s="422"/>
      <c r="D1" s="422"/>
      <c r="E1" s="422"/>
      <c r="F1" s="423"/>
    </row>
    <row r="2" spans="1:6" ht="15.75">
      <c r="A2" s="444" t="str">
        <f>'2nd Year IS'!A2:F2</f>
        <v>Income Statement</v>
      </c>
      <c r="B2" s="445"/>
      <c r="C2" s="445"/>
      <c r="D2" s="445"/>
      <c r="E2" s="445"/>
      <c r="F2" s="446"/>
    </row>
    <row r="3" spans="1:6" ht="15.75">
      <c r="A3" s="444" t="str">
        <f>'2nd Year IS'!A3:F3</f>
        <v>For Year Ending</v>
      </c>
      <c r="B3" s="445"/>
      <c r="C3" s="445"/>
      <c r="D3" s="445"/>
      <c r="E3" s="445"/>
      <c r="F3" s="446"/>
    </row>
    <row r="4" spans="1:6" ht="15.75">
      <c r="A4" s="433">
        <f>EOMONTH(+'2nd Year IS'!A4:F4,12)</f>
        <v>40056</v>
      </c>
      <c r="B4" s="434"/>
      <c r="C4" s="434"/>
      <c r="D4" s="434"/>
      <c r="E4" s="434"/>
      <c r="F4" s="435"/>
    </row>
    <row r="5" spans="1:7" s="29" customFormat="1" ht="12.75">
      <c r="A5" s="84"/>
      <c r="B5" s="85"/>
      <c r="C5" s="86"/>
      <c r="D5" s="86"/>
      <c r="E5" s="86"/>
      <c r="F5" s="87"/>
      <c r="G5" s="33"/>
    </row>
    <row r="6" spans="1:7" ht="12.75">
      <c r="A6" s="64"/>
      <c r="B6" s="217" t="s">
        <v>62</v>
      </c>
      <c r="C6" s="217" t="s">
        <v>63</v>
      </c>
      <c r="D6" s="217" t="s">
        <v>64</v>
      </c>
      <c r="E6" s="217" t="s">
        <v>65</v>
      </c>
      <c r="F6" s="218" t="s">
        <v>25</v>
      </c>
      <c r="G6" s="56"/>
    </row>
    <row r="7" spans="1:7" ht="12.75">
      <c r="A7" s="63" t="s">
        <v>26</v>
      </c>
      <c r="B7" s="363">
        <f>ROUND('2nd Year IS'!B7*(1+$B$35),0)</f>
        <v>59261</v>
      </c>
      <c r="C7" s="363">
        <f>ROUND('2nd Year IS'!C7*(1+$B$35),0)</f>
        <v>59260</v>
      </c>
      <c r="D7" s="363">
        <f>ROUND('2nd Year IS'!D7*(1+$B$35),0)</f>
        <v>59260</v>
      </c>
      <c r="E7" s="363">
        <f>ROUND('2nd Year IS'!E7*(1+$B$35),0)</f>
        <v>59260</v>
      </c>
      <c r="F7" s="356">
        <f>SUM(B7:E7)</f>
        <v>237041</v>
      </c>
      <c r="G7" s="33"/>
    </row>
    <row r="8" spans="1:7" ht="12.75">
      <c r="A8" s="63" t="s">
        <v>27</v>
      </c>
      <c r="B8" s="363">
        <f>ROUND(B7*$B$39,0)</f>
        <v>0</v>
      </c>
      <c r="C8" s="363">
        <f>ROUND(C7*$B$39,0)</f>
        <v>0</v>
      </c>
      <c r="D8" s="363">
        <f>ROUND(D7*$B$39,0)</f>
        <v>0</v>
      </c>
      <c r="E8" s="363">
        <f>ROUND(E7*$B$39,0)</f>
        <v>0</v>
      </c>
      <c r="F8" s="356">
        <f>SUM(B8:E8)</f>
        <v>0</v>
      </c>
      <c r="G8" s="33"/>
    </row>
    <row r="9" spans="1:7" ht="12.75">
      <c r="A9" s="63" t="s">
        <v>28</v>
      </c>
      <c r="B9" s="363">
        <f>B7-B8</f>
        <v>59261</v>
      </c>
      <c r="C9" s="363">
        <f>C7-C8</f>
        <v>59260</v>
      </c>
      <c r="D9" s="363">
        <f>D7-D8</f>
        <v>59260</v>
      </c>
      <c r="E9" s="363">
        <f>E7-E8</f>
        <v>59260</v>
      </c>
      <c r="F9" s="356">
        <f>SUM(B9:E9)</f>
        <v>237041</v>
      </c>
      <c r="G9" s="33"/>
    </row>
    <row r="10" spans="1:7" ht="12.75">
      <c r="A10" s="63" t="s">
        <v>29</v>
      </c>
      <c r="B10" s="363">
        <f>ROUND(B7*$B$37,0)</f>
        <v>20741</v>
      </c>
      <c r="C10" s="363">
        <f>ROUND(C7*$B$37,0)</f>
        <v>20741</v>
      </c>
      <c r="D10" s="363">
        <f>ROUND(D7*$B$37,0)</f>
        <v>20741</v>
      </c>
      <c r="E10" s="363">
        <f>ROUND(E7*$B$37,0)</f>
        <v>20741</v>
      </c>
      <c r="F10" s="356">
        <f>SUM(B10:E10)</f>
        <v>82964</v>
      </c>
      <c r="G10" s="33"/>
    </row>
    <row r="11" spans="1:7" ht="12.75">
      <c r="A11" s="66" t="s">
        <v>30</v>
      </c>
      <c r="B11" s="363">
        <f>B9-B10</f>
        <v>38520</v>
      </c>
      <c r="C11" s="363">
        <f>C9-C10</f>
        <v>38519</v>
      </c>
      <c r="D11" s="363">
        <f>D9-D10</f>
        <v>38519</v>
      </c>
      <c r="E11" s="363">
        <f>E9-E10</f>
        <v>38519</v>
      </c>
      <c r="F11" s="356">
        <f>SUM(B11:E11)</f>
        <v>154077</v>
      </c>
      <c r="G11" s="33"/>
    </row>
    <row r="12" spans="1:7" ht="12.75">
      <c r="A12" s="63"/>
      <c r="B12" s="363"/>
      <c r="C12" s="363"/>
      <c r="D12" s="363"/>
      <c r="E12" s="363"/>
      <c r="F12" s="356"/>
      <c r="G12" s="33"/>
    </row>
    <row r="13" spans="1:7" ht="12.75">
      <c r="A13" s="63" t="str">
        <f>'1st year Income stmt'!A12</f>
        <v>G &amp; A Expenses</v>
      </c>
      <c r="B13" s="363"/>
      <c r="C13" s="363"/>
      <c r="D13" s="363"/>
      <c r="E13" s="363"/>
      <c r="F13" s="356"/>
      <c r="G13" s="33"/>
    </row>
    <row r="14" spans="1:7" ht="12.75">
      <c r="A14" s="63" t="str">
        <f>'1st year Income stmt'!A13</f>
        <v>Salary Expense</v>
      </c>
      <c r="B14" s="363">
        <f>ROUND('2nd Year IS'!B14*(1+$B$36),0)</f>
        <v>14214</v>
      </c>
      <c r="C14" s="363">
        <f>ROUND('2nd Year IS'!C14*(1+$B$36),0)</f>
        <v>14214</v>
      </c>
      <c r="D14" s="363">
        <f>ROUND('2nd Year IS'!D14*(1+$B$36),0)</f>
        <v>14214</v>
      </c>
      <c r="E14" s="363">
        <f>ROUND('2nd Year IS'!E14*(1+$B$36),0)</f>
        <v>14214</v>
      </c>
      <c r="F14" s="356">
        <f aca="true" t="shared" si="0" ref="F14:F27">SUM(B14:E14)</f>
        <v>56856</v>
      </c>
      <c r="G14" s="33"/>
    </row>
    <row r="15" spans="1:7" ht="12.75">
      <c r="A15" s="63" t="str">
        <f>'1st year Income stmt'!A14</f>
        <v>Rent</v>
      </c>
      <c r="B15" s="363">
        <f>ROUND('2nd Year IS'!B15*(1+$B$36),0)</f>
        <v>2069</v>
      </c>
      <c r="C15" s="363">
        <f>ROUND('2nd Year IS'!C15*(1+$B$36),0)</f>
        <v>2069</v>
      </c>
      <c r="D15" s="363">
        <f>ROUND('2nd Year IS'!D15*(1+$B$36),0)</f>
        <v>2069</v>
      </c>
      <c r="E15" s="363">
        <f>ROUND('2nd Year IS'!E15*(1+$B$36),0)</f>
        <v>2069</v>
      </c>
      <c r="F15" s="356">
        <f t="shared" si="0"/>
        <v>8276</v>
      </c>
      <c r="G15" s="33"/>
    </row>
    <row r="16" spans="1:7" ht="12.75">
      <c r="A16" s="63" t="str">
        <f>'1st year Income stmt'!A15</f>
        <v>Payroll taxes</v>
      </c>
      <c r="B16" s="363">
        <f>ROUND((B14*$E$39),0)</f>
        <v>1656</v>
      </c>
      <c r="C16" s="363">
        <f>ROUND((C14*$E$39),0)</f>
        <v>1656</v>
      </c>
      <c r="D16" s="363">
        <f>ROUND((D14*$E$39),0)</f>
        <v>1656</v>
      </c>
      <c r="E16" s="363">
        <f>ROUND((E14*$E$39),0)</f>
        <v>1656</v>
      </c>
      <c r="F16" s="356">
        <f t="shared" si="0"/>
        <v>6624</v>
      </c>
      <c r="G16" s="33"/>
    </row>
    <row r="17" spans="1:7" ht="12.75">
      <c r="A17" s="63" t="str">
        <f>'1st year Income stmt'!A16</f>
        <v>Travel &amp; Enter.</v>
      </c>
      <c r="B17" s="363">
        <f>ROUND('2nd Year IS'!B17*(1+$B$36),0)</f>
        <v>420</v>
      </c>
      <c r="C17" s="363">
        <f>ROUND('2nd Year IS'!C17*(1+$B$36),0)</f>
        <v>420</v>
      </c>
      <c r="D17" s="363">
        <f>ROUND('2nd Year IS'!D17*(1+$B$36),0)</f>
        <v>420</v>
      </c>
      <c r="E17" s="363">
        <f>ROUND('2nd Year IS'!E17*(1+$B$36),0)</f>
        <v>420</v>
      </c>
      <c r="F17" s="356">
        <f t="shared" si="0"/>
        <v>1680</v>
      </c>
      <c r="G17" s="33"/>
    </row>
    <row r="18" spans="1:7" ht="12.75">
      <c r="A18" s="63" t="str">
        <f>'1st year Income stmt'!A17</f>
        <v>Prof. &amp; Acctg</v>
      </c>
      <c r="B18" s="363">
        <f>ROUND('2nd Year IS'!B18*(1+$B$36),0)</f>
        <v>79</v>
      </c>
      <c r="C18" s="363">
        <f>ROUND('2nd Year IS'!C18*(1+$B$36),0)</f>
        <v>79</v>
      </c>
      <c r="D18" s="363">
        <f>ROUND('2nd Year IS'!D18*(1+$B$36),0)</f>
        <v>79</v>
      </c>
      <c r="E18" s="363">
        <f>ROUND('2nd Year IS'!E18*(1+$B$36),0)</f>
        <v>79</v>
      </c>
      <c r="F18" s="356">
        <f t="shared" si="0"/>
        <v>316</v>
      </c>
      <c r="G18" s="33"/>
    </row>
    <row r="19" spans="1:7" ht="12.75">
      <c r="A19" s="63" t="str">
        <f>'1st year Income stmt'!A18</f>
        <v>Depreciation</v>
      </c>
      <c r="B19" s="363">
        <f>(+'2nd Year BS'!$D$18+'2nd Year BS'!$D$19+'2nd Year BS'!$D$20)/'B Balance sheet'!$C$29/4</f>
        <v>2775</v>
      </c>
      <c r="C19" s="363">
        <f>(+'2nd Year BS'!$D$18+'2nd Year BS'!$D$19+'2nd Year BS'!$D$20)/'B Balance sheet'!$C$29/4</f>
        <v>2775</v>
      </c>
      <c r="D19" s="363">
        <f>(+'2nd Year BS'!$D$18+'2nd Year BS'!$D$19+'2nd Year BS'!$D$20)/'B Balance sheet'!$C$29/4</f>
        <v>2775</v>
      </c>
      <c r="E19" s="363">
        <f>(+'2nd Year BS'!$D$18+'2nd Year BS'!$D$19+'2nd Year BS'!$D$20)/'B Balance sheet'!$C$29/4</f>
        <v>2775</v>
      </c>
      <c r="F19" s="356">
        <f t="shared" si="0"/>
        <v>11100</v>
      </c>
      <c r="G19" s="33"/>
    </row>
    <row r="20" spans="1:7" ht="12.75">
      <c r="A20" s="63" t="str">
        <f>'1st year Income stmt'!A19</f>
        <v>Insurance</v>
      </c>
      <c r="B20" s="363">
        <f>ROUND('2nd Year IS'!B20*(1+$B$36),0)</f>
        <v>1139</v>
      </c>
      <c r="C20" s="363">
        <f>ROUND('2nd Year IS'!C20*(1+$B$35),0)</f>
        <v>1161</v>
      </c>
      <c r="D20" s="363">
        <f>ROUND('2nd Year IS'!D20*(1+$B$35),0)</f>
        <v>1161</v>
      </c>
      <c r="E20" s="363">
        <f>ROUND('2nd Year IS'!E20*(1+$B$35),0)</f>
        <v>1161</v>
      </c>
      <c r="F20" s="356">
        <f t="shared" si="0"/>
        <v>4622</v>
      </c>
      <c r="G20" s="33"/>
    </row>
    <row r="21" spans="1:7" ht="12.75">
      <c r="A21" s="63" t="str">
        <f>'1st year Income stmt'!A20</f>
        <v>Interest</v>
      </c>
      <c r="B21" s="363">
        <f>SUM('Pmt Schedule'!D34:D36)</f>
        <v>1092</v>
      </c>
      <c r="C21" s="363">
        <f>SUM('Pmt Schedule'!D36:D38)</f>
        <v>1062</v>
      </c>
      <c r="D21" s="363">
        <f>SUM('Pmt Schedule'!D39:D41)</f>
        <v>1017</v>
      </c>
      <c r="E21" s="363">
        <f>SUM('Pmt Schedule'!D43:D45)</f>
        <v>953</v>
      </c>
      <c r="F21" s="356">
        <f t="shared" si="0"/>
        <v>4124</v>
      </c>
      <c r="G21" s="33"/>
    </row>
    <row r="22" spans="1:7" ht="12.75">
      <c r="A22" s="63" t="str">
        <f>'1st year Income stmt'!A21</f>
        <v>Rep &amp; Maint.</v>
      </c>
      <c r="B22" s="363">
        <f>ROUND('2nd Year IS'!B22*(1+$B$35),0)</f>
        <v>324</v>
      </c>
      <c r="C22" s="363">
        <f>ROUND('2nd Year IS'!C22*(1+$B$35),0)</f>
        <v>324</v>
      </c>
      <c r="D22" s="363">
        <f>ROUND('2nd Year IS'!D22*(1+$B$35),0)</f>
        <v>324</v>
      </c>
      <c r="E22" s="363">
        <f>ROUND('2nd Year IS'!E22*(1+$B$35),0)</f>
        <v>324</v>
      </c>
      <c r="F22" s="356">
        <f t="shared" si="0"/>
        <v>1296</v>
      </c>
      <c r="G22" s="33"/>
    </row>
    <row r="23" spans="1:7" ht="12.75">
      <c r="A23" s="63" t="str">
        <f>'1st year Income stmt'!A22</f>
        <v>Util. &amp; Phone</v>
      </c>
      <c r="B23" s="363">
        <f>ROUND('2nd Year IS'!B23*(1+$B$35),0)</f>
        <v>2596</v>
      </c>
      <c r="C23" s="363">
        <f>ROUND('2nd Year IS'!C23*(1+$B$35),0)</f>
        <v>2596</v>
      </c>
      <c r="D23" s="363">
        <f>ROUND('2nd Year IS'!D23*(1+$B$35),0)</f>
        <v>2596</v>
      </c>
      <c r="E23" s="363">
        <f>ROUND('2nd Year IS'!E23*(1+$B$35),0)</f>
        <v>2596</v>
      </c>
      <c r="F23" s="356">
        <f t="shared" si="0"/>
        <v>10384</v>
      </c>
      <c r="G23" s="33"/>
    </row>
    <row r="24" spans="1:7" ht="12.75">
      <c r="A24" s="63" t="str">
        <f>'1st year Income stmt'!A23</f>
        <v>Office Supplies</v>
      </c>
      <c r="B24" s="363">
        <f>ROUND('2nd Year IS'!B24*(1+$B$35),0)</f>
        <v>487</v>
      </c>
      <c r="C24" s="363">
        <f>ROUND('2nd Year IS'!C24*(1+$B$35),0)</f>
        <v>487</v>
      </c>
      <c r="D24" s="363">
        <f>ROUND('2nd Year IS'!D24*(1+$B$35),0)</f>
        <v>487</v>
      </c>
      <c r="E24" s="363">
        <f>ROUND('2nd Year IS'!E24*(1+$B$35),0)</f>
        <v>487</v>
      </c>
      <c r="F24" s="356">
        <f t="shared" si="0"/>
        <v>1948</v>
      </c>
      <c r="G24" s="33"/>
    </row>
    <row r="25" spans="1:7" ht="12.75">
      <c r="A25" s="63" t="str">
        <f>'1st year Income stmt'!A24</f>
        <v>Other Taxes</v>
      </c>
      <c r="B25" s="363">
        <f>ROUND('2nd Year IS'!B25*(1+$B$35),0)</f>
        <v>0</v>
      </c>
      <c r="C25" s="363">
        <f>ROUND('2nd Year IS'!C25*(1+$B$35),0)</f>
        <v>0</v>
      </c>
      <c r="D25" s="363">
        <f>ROUND('2nd Year IS'!D25*(1+$B$35),0)</f>
        <v>0</v>
      </c>
      <c r="E25" s="363">
        <f>ROUND('2nd Year IS'!E25*(1+$B$35),0)</f>
        <v>0</v>
      </c>
      <c r="F25" s="356">
        <f t="shared" si="0"/>
        <v>0</v>
      </c>
      <c r="G25" s="33"/>
    </row>
    <row r="26" spans="1:7" ht="12.75">
      <c r="A26" s="63" t="str">
        <f>'1st year Income stmt'!A25</f>
        <v>Marketing</v>
      </c>
      <c r="B26" s="363">
        <f>ROUND('2nd Year IS'!B26*(1+$B$35),0)</f>
        <v>296</v>
      </c>
      <c r="C26" s="363">
        <f>ROUND('2nd Year IS'!C26*(1+$B$35),0)</f>
        <v>296</v>
      </c>
      <c r="D26" s="363">
        <f>ROUND('2nd Year IS'!D26*(1+$B$35),0)</f>
        <v>296</v>
      </c>
      <c r="E26" s="363">
        <f>ROUND('2nd Year IS'!E26*(1+$B$35),0)</f>
        <v>301</v>
      </c>
      <c r="F26" s="356">
        <f t="shared" si="0"/>
        <v>1189</v>
      </c>
      <c r="G26" s="33"/>
    </row>
    <row r="27" spans="1:7" ht="12.75">
      <c r="A27" s="63" t="s">
        <v>326</v>
      </c>
      <c r="B27" s="363">
        <f>ROUND('2nd Year IS'!B27*(1+$B$35),0)</f>
        <v>812</v>
      </c>
      <c r="C27" s="363">
        <f>ROUND('2nd Year IS'!C27*(1+$B$35),0)</f>
        <v>812</v>
      </c>
      <c r="D27" s="363">
        <f>ROUND('2nd Year IS'!D27*(1+$B$35),0)</f>
        <v>812</v>
      </c>
      <c r="E27" s="363">
        <f>ROUND('2nd Year IS'!E27*(1+$B$35),0)</f>
        <v>812</v>
      </c>
      <c r="F27" s="356">
        <f t="shared" si="0"/>
        <v>3248</v>
      </c>
      <c r="G27" s="33"/>
    </row>
    <row r="28" spans="1:7" ht="12.75">
      <c r="A28" s="66" t="str">
        <f>'1st year Income stmt'!A28</f>
        <v>Total G&amp;A Exp.</v>
      </c>
      <c r="B28" s="363">
        <f>SUM(B14:B27)</f>
        <v>27959</v>
      </c>
      <c r="C28" s="363">
        <f>SUM(C14:C27)</f>
        <v>27951</v>
      </c>
      <c r="D28" s="363">
        <f>SUM(D14:D27)</f>
        <v>27906</v>
      </c>
      <c r="E28" s="363">
        <f>SUM(E14:E27)</f>
        <v>27847</v>
      </c>
      <c r="F28" s="356">
        <f>SUM(F14:F27)</f>
        <v>111663</v>
      </c>
      <c r="G28" s="33"/>
    </row>
    <row r="29" spans="1:7" ht="12.75">
      <c r="A29" s="63"/>
      <c r="B29" s="363"/>
      <c r="C29" s="363"/>
      <c r="D29" s="363"/>
      <c r="E29" s="363"/>
      <c r="F29" s="356"/>
      <c r="G29" s="33"/>
    </row>
    <row r="30" spans="1:7" ht="12.75">
      <c r="A30" s="67" t="str">
        <f>'1st year Income stmt'!A29</f>
        <v>Net Income BT</v>
      </c>
      <c r="B30" s="383">
        <f>B11-B28</f>
        <v>10561</v>
      </c>
      <c r="C30" s="383">
        <f>C11-C28</f>
        <v>10568</v>
      </c>
      <c r="D30" s="383">
        <f>D11-D28</f>
        <v>10613</v>
      </c>
      <c r="E30" s="383">
        <f>E11-E28</f>
        <v>10672</v>
      </c>
      <c r="F30" s="357">
        <f>SUM(B30:E30)</f>
        <v>42414</v>
      </c>
      <c r="G30" s="33"/>
    </row>
    <row r="31" spans="1:7" ht="12.75">
      <c r="A31" s="201" t="s">
        <v>195</v>
      </c>
      <c r="B31" s="389">
        <f>+B30*$B$40</f>
        <v>2112.2000000000003</v>
      </c>
      <c r="C31" s="389">
        <f>+C30*$B$40</f>
        <v>2113.6</v>
      </c>
      <c r="D31" s="389">
        <f>+D30*$B$40</f>
        <v>2122.6</v>
      </c>
      <c r="E31" s="389">
        <f>+E30*$B$40</f>
        <v>2134.4</v>
      </c>
      <c r="F31" s="357">
        <f>SUM(B31:E31)</f>
        <v>8482.8</v>
      </c>
      <c r="G31" s="33"/>
    </row>
    <row r="32" spans="1:7" ht="13.5" thickBot="1">
      <c r="A32" s="202" t="s">
        <v>196</v>
      </c>
      <c r="B32" s="390">
        <f>+B30-B31</f>
        <v>8448.8</v>
      </c>
      <c r="C32" s="390">
        <f>+C30-C31</f>
        <v>8454.4</v>
      </c>
      <c r="D32" s="390">
        <f>+D30-D31</f>
        <v>8490.4</v>
      </c>
      <c r="E32" s="390">
        <f>+E30-E31</f>
        <v>8537.6</v>
      </c>
      <c r="F32" s="391">
        <f>SUM(B32:E32)</f>
        <v>33931.2</v>
      </c>
      <c r="G32" s="33"/>
    </row>
    <row r="33" spans="1:7" ht="13.5" thickTop="1">
      <c r="A33" s="60" t="s">
        <v>93</v>
      </c>
      <c r="B33" s="33"/>
      <c r="C33" s="33"/>
      <c r="D33" s="33"/>
      <c r="E33" s="33"/>
      <c r="F33" s="33"/>
      <c r="G33" s="33"/>
    </row>
    <row r="34" spans="1:7" ht="12.75">
      <c r="A34" s="144" t="s">
        <v>104</v>
      </c>
      <c r="B34" s="33"/>
      <c r="C34" s="33" t="s">
        <v>93</v>
      </c>
      <c r="D34" s="33"/>
      <c r="E34" s="33"/>
      <c r="F34" s="33"/>
      <c r="G34" s="33"/>
    </row>
    <row r="35" spans="1:7" ht="12.75">
      <c r="A35" s="60" t="s">
        <v>73</v>
      </c>
      <c r="B35" s="178">
        <v>0.05</v>
      </c>
      <c r="C35" s="33" t="s">
        <v>36</v>
      </c>
      <c r="D35" s="33"/>
      <c r="E35" s="182">
        <v>0.0765</v>
      </c>
      <c r="F35" s="33"/>
      <c r="G35" s="33"/>
    </row>
    <row r="36" spans="1:7" ht="12.75">
      <c r="A36" s="60" t="s">
        <v>74</v>
      </c>
      <c r="B36" s="178">
        <v>0.03</v>
      </c>
      <c r="C36" s="33" t="s">
        <v>37</v>
      </c>
      <c r="D36" s="33"/>
      <c r="E36" s="182">
        <v>0.01</v>
      </c>
      <c r="F36" s="33"/>
      <c r="G36" s="33"/>
    </row>
    <row r="37" spans="1:7" ht="12.75">
      <c r="A37" s="60" t="s">
        <v>33</v>
      </c>
      <c r="B37" s="179">
        <v>0.35</v>
      </c>
      <c r="C37" s="33" t="s">
        <v>36</v>
      </c>
      <c r="D37" s="33"/>
      <c r="E37" s="182">
        <v>0.01</v>
      </c>
      <c r="F37" s="33"/>
      <c r="G37" s="33"/>
    </row>
    <row r="38" spans="1:7" ht="12.75">
      <c r="A38" s="60" t="s">
        <v>34</v>
      </c>
      <c r="B38" s="178">
        <v>0.005</v>
      </c>
      <c r="C38" s="33" t="s">
        <v>38</v>
      </c>
      <c r="D38" s="33"/>
      <c r="E38" s="182">
        <v>0.02</v>
      </c>
      <c r="F38" s="33"/>
      <c r="G38" s="33"/>
    </row>
    <row r="39" spans="1:7" ht="12.75">
      <c r="A39" s="61" t="s">
        <v>40</v>
      </c>
      <c r="B39" s="180">
        <v>0</v>
      </c>
      <c r="C39" s="33" t="s">
        <v>39</v>
      </c>
      <c r="D39" s="33"/>
      <c r="E39" s="182">
        <f>SUM(E35:E38)</f>
        <v>0.11649999999999999</v>
      </c>
      <c r="F39" s="33"/>
      <c r="G39" s="33"/>
    </row>
    <row r="40" spans="1:6" ht="12.75">
      <c r="A40" t="s">
        <v>195</v>
      </c>
      <c r="B40" s="204">
        <v>0.2</v>
      </c>
      <c r="C40"/>
      <c r="D40"/>
      <c r="E40"/>
      <c r="F40"/>
    </row>
    <row r="41" spans="2:6" ht="12.75">
      <c r="B41"/>
      <c r="C41"/>
      <c r="D41"/>
      <c r="E41"/>
      <c r="F41"/>
    </row>
    <row r="42" spans="2:6" ht="12.75">
      <c r="B42"/>
      <c r="C42"/>
      <c r="D42"/>
      <c r="E42"/>
      <c r="F42"/>
    </row>
    <row r="43" spans="2:6" ht="12.75">
      <c r="B43"/>
      <c r="C43"/>
      <c r="D43"/>
      <c r="E43"/>
      <c r="F43"/>
    </row>
    <row r="44" spans="2:6" ht="12.75">
      <c r="B44"/>
      <c r="C44"/>
      <c r="D44"/>
      <c r="E44"/>
      <c r="F44"/>
    </row>
    <row r="45" spans="2:6" ht="12.75">
      <c r="B45"/>
      <c r="C45"/>
      <c r="D45"/>
      <c r="E45"/>
      <c r="F45"/>
    </row>
    <row r="66" spans="1:5" ht="12.75">
      <c r="A66" t="s">
        <v>66</v>
      </c>
      <c r="B66">
        <v>27</v>
      </c>
      <c r="C66">
        <v>30</v>
      </c>
      <c r="D66">
        <v>33</v>
      </c>
      <c r="E66">
        <v>36</v>
      </c>
    </row>
  </sheetData>
  <mergeCells count="4">
    <mergeCell ref="A1:F1"/>
    <mergeCell ref="A2:F2"/>
    <mergeCell ref="A3:F3"/>
    <mergeCell ref="A4:F4"/>
  </mergeCells>
  <printOptions horizontalCentered="1"/>
  <pageMargins left="1.02" right="1.11" top="1.32" bottom="1.68"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10:E10" formula="1"/>
  </ignoredErrors>
</worksheet>
</file>

<file path=xl/worksheets/sheet13.xml><?xml version="1.0" encoding="utf-8"?>
<worksheet xmlns="http://schemas.openxmlformats.org/spreadsheetml/2006/main" xmlns:r="http://schemas.openxmlformats.org/officeDocument/2006/relationships">
  <sheetPr codeName="Sheet9"/>
  <dimension ref="A1:I69"/>
  <sheetViews>
    <sheetView showGridLines="0" workbookViewId="0" topLeftCell="A31">
      <selection activeCell="D49" sqref="D49"/>
    </sheetView>
  </sheetViews>
  <sheetFormatPr defaultColWidth="9.140625" defaultRowHeight="12.75"/>
  <cols>
    <col min="1" max="1" width="23.421875" style="0" customWidth="1"/>
    <col min="2" max="2" width="12.00390625" style="46" customWidth="1"/>
    <col min="3" max="3" width="11.00390625" style="46" customWidth="1"/>
    <col min="4" max="4" width="11.57421875" style="46" customWidth="1"/>
    <col min="5" max="5" width="12.7109375" style="46" customWidth="1"/>
    <col min="6" max="6" width="12.421875" style="46" customWidth="1"/>
    <col min="7" max="7" width="8.00390625" style="0" customWidth="1"/>
    <col min="8" max="8" width="32.421875" style="0" customWidth="1"/>
    <col min="9" max="16384" width="8.00390625" style="0" customWidth="1"/>
  </cols>
  <sheetData>
    <row r="1" spans="1:6" ht="15.75">
      <c r="A1" s="421" t="str">
        <f>'2nd Year CF'!A1:F1</f>
        <v>Speedy B's LLC - NEW</v>
      </c>
      <c r="B1" s="422"/>
      <c r="C1" s="422"/>
      <c r="D1" s="422"/>
      <c r="E1" s="422"/>
      <c r="F1" s="423"/>
    </row>
    <row r="2" spans="1:6" ht="15.75">
      <c r="A2" s="444" t="str">
        <f>'2nd Year CF'!A2:F2</f>
        <v>Cash Flow Statement</v>
      </c>
      <c r="B2" s="445"/>
      <c r="C2" s="445"/>
      <c r="D2" s="445"/>
      <c r="E2" s="445"/>
      <c r="F2" s="446"/>
    </row>
    <row r="3" spans="1:6" ht="15.75">
      <c r="A3" s="444" t="str">
        <f>'2nd Year CF'!A3:F3</f>
        <v>For Year Ending</v>
      </c>
      <c r="B3" s="445"/>
      <c r="C3" s="445"/>
      <c r="D3" s="445"/>
      <c r="E3" s="445"/>
      <c r="F3" s="446"/>
    </row>
    <row r="4" spans="1:6" ht="15.75">
      <c r="A4" s="427">
        <f>'3rd Year IS'!A4:F4</f>
        <v>40056</v>
      </c>
      <c r="B4" s="428"/>
      <c r="C4" s="428"/>
      <c r="D4" s="428"/>
      <c r="E4" s="428"/>
      <c r="F4" s="429"/>
    </row>
    <row r="5" spans="1:6" ht="12.75">
      <c r="A5" s="84"/>
      <c r="B5" s="127"/>
      <c r="C5" s="128"/>
      <c r="D5" s="129"/>
      <c r="E5" s="127"/>
      <c r="F5" s="130"/>
    </row>
    <row r="6" spans="1:9" ht="12.75">
      <c r="A6" s="64"/>
      <c r="B6" s="215" t="str">
        <f>'3rd Year IS'!B6</f>
        <v>1st quarter</v>
      </c>
      <c r="C6" s="215" t="str">
        <f>'3rd Year IS'!C6</f>
        <v>2nd quarter</v>
      </c>
      <c r="D6" s="215" t="str">
        <f>'3rd Year IS'!D6</f>
        <v>3rd quarter</v>
      </c>
      <c r="E6" s="215" t="str">
        <f>'3rd Year IS'!E6</f>
        <v>4th quarter</v>
      </c>
      <c r="F6" s="216" t="s">
        <v>72</v>
      </c>
      <c r="G6" s="29"/>
      <c r="H6" s="29"/>
      <c r="I6" s="29"/>
    </row>
    <row r="7" spans="1:9" s="29" customFormat="1" ht="12.75">
      <c r="A7" s="66" t="s">
        <v>41</v>
      </c>
      <c r="B7" s="131"/>
      <c r="C7" s="131"/>
      <c r="D7" s="131"/>
      <c r="E7" s="131"/>
      <c r="F7" s="132"/>
      <c r="G7"/>
      <c r="H7"/>
      <c r="I7"/>
    </row>
    <row r="8" spans="1:9" ht="12.75">
      <c r="A8" s="69" t="s">
        <v>42</v>
      </c>
      <c r="B8" s="57">
        <f>'3rd Year IS'!B9</f>
        <v>59261</v>
      </c>
      <c r="C8" s="57">
        <f>'3rd Year IS'!C9</f>
        <v>59260</v>
      </c>
      <c r="D8" s="57">
        <f>'3rd Year IS'!D9</f>
        <v>59260</v>
      </c>
      <c r="E8" s="57">
        <f>'3rd Year IS'!E9</f>
        <v>59260</v>
      </c>
      <c r="F8" s="70">
        <f>SUM(B8:E8)</f>
        <v>237041</v>
      </c>
      <c r="G8" s="31"/>
      <c r="H8" s="31"/>
      <c r="I8" s="31"/>
    </row>
    <row r="9" spans="1:6" s="31" customFormat="1" ht="12.75">
      <c r="A9" s="69" t="s">
        <v>77</v>
      </c>
      <c r="B9" s="57">
        <f>$B$44*B8</f>
        <v>0</v>
      </c>
      <c r="C9" s="57">
        <f>$B$44*C8</f>
        <v>0</v>
      </c>
      <c r="D9" s="57">
        <f>$B$44*D8</f>
        <v>0</v>
      </c>
      <c r="E9" s="57">
        <f>$B$44*E8</f>
        <v>0</v>
      </c>
      <c r="F9" s="70">
        <f>SUM(B9:E9)</f>
        <v>0</v>
      </c>
    </row>
    <row r="10" spans="1:7" s="31" customFormat="1" ht="12.75">
      <c r="A10" s="63" t="s">
        <v>43</v>
      </c>
      <c r="B10" s="57">
        <f>+'2nd Year BS'!D10+'3rd Year CF'!B9*(1-$B$45/90)</f>
        <v>0</v>
      </c>
      <c r="C10" s="57">
        <f>+C9*(1-$B$45/90)+(B9*$B$45/90)</f>
        <v>0</v>
      </c>
      <c r="D10" s="57">
        <f>+D9*(1-$B$45/90)+(C9*$B$45/90)</f>
        <v>0</v>
      </c>
      <c r="E10" s="57">
        <f>+E9*(1-$B$45/90)+(D9*$B$45/90)</f>
        <v>0</v>
      </c>
      <c r="F10" s="70">
        <f>SUM(B10:E10)</f>
        <v>0</v>
      </c>
      <c r="G10"/>
    </row>
    <row r="11" spans="1:6" ht="12.75">
      <c r="A11" s="66" t="s">
        <v>44</v>
      </c>
      <c r="B11" s="57">
        <f>B8+B10-B9</f>
        <v>59261</v>
      </c>
      <c r="C11" s="57">
        <f>C8+C10-C9</f>
        <v>59260</v>
      </c>
      <c r="D11" s="57">
        <f>D8+D10-D9</f>
        <v>59260</v>
      </c>
      <c r="E11" s="57">
        <f>E8+E10-E9</f>
        <v>59260</v>
      </c>
      <c r="F11" s="70">
        <f>SUM(B11:E11)</f>
        <v>237041</v>
      </c>
    </row>
    <row r="12" spans="1:6" ht="12.75">
      <c r="A12" s="63"/>
      <c r="B12" s="57"/>
      <c r="C12" s="57"/>
      <c r="D12" s="57"/>
      <c r="E12" s="57"/>
      <c r="F12" s="70"/>
    </row>
    <row r="13" spans="1:6" ht="12.75">
      <c r="A13" s="66" t="s">
        <v>45</v>
      </c>
      <c r="B13" s="57"/>
      <c r="C13" s="57"/>
      <c r="D13" s="57"/>
      <c r="E13" s="57"/>
      <c r="F13" s="70" t="s">
        <v>93</v>
      </c>
    </row>
    <row r="14" spans="1:6" ht="12.75">
      <c r="A14" s="63" t="s">
        <v>46</v>
      </c>
      <c r="B14" s="184">
        <v>0</v>
      </c>
      <c r="C14" s="184">
        <v>0</v>
      </c>
      <c r="D14" s="184">
        <v>0</v>
      </c>
      <c r="E14" s="184">
        <v>0</v>
      </c>
      <c r="F14" s="70">
        <f>SUM(B14:E14)</f>
        <v>0</v>
      </c>
    </row>
    <row r="15" spans="1:6" ht="12.75">
      <c r="A15" s="63" t="s">
        <v>47</v>
      </c>
      <c r="B15" s="184">
        <v>0</v>
      </c>
      <c r="C15" s="184">
        <v>0</v>
      </c>
      <c r="D15" s="184">
        <v>0</v>
      </c>
      <c r="E15" s="184">
        <v>0</v>
      </c>
      <c r="F15" s="70">
        <f>SUM(B15:E15)</f>
        <v>0</v>
      </c>
    </row>
    <row r="16" spans="1:6" ht="12.75">
      <c r="A16" s="63" t="s">
        <v>48</v>
      </c>
      <c r="B16" s="184">
        <v>0</v>
      </c>
      <c r="C16" s="184">
        <v>0</v>
      </c>
      <c r="D16" s="184">
        <v>0</v>
      </c>
      <c r="E16" s="184">
        <v>0</v>
      </c>
      <c r="F16" s="70">
        <f>SUM(B16:E16)</f>
        <v>0</v>
      </c>
    </row>
    <row r="17" spans="1:6" ht="12.75">
      <c r="A17" s="66" t="s">
        <v>49</v>
      </c>
      <c r="B17" s="57">
        <f>B11+SUM(B14:B16)</f>
        <v>59261</v>
      </c>
      <c r="C17" s="57">
        <f>C11+SUM(C14:C16)</f>
        <v>59260</v>
      </c>
      <c r="D17" s="57">
        <f>D11+SUM(D14:D16)</f>
        <v>59260</v>
      </c>
      <c r="E17" s="57">
        <f>E11+SUM(E14:E16)</f>
        <v>59260</v>
      </c>
      <c r="F17" s="70">
        <f>SUM(B17:E17)</f>
        <v>237041</v>
      </c>
    </row>
    <row r="18" spans="1:6" ht="12.75">
      <c r="A18" s="63"/>
      <c r="B18" s="57"/>
      <c r="C18" s="57"/>
      <c r="D18" s="57"/>
      <c r="E18" s="57"/>
      <c r="F18" s="70"/>
    </row>
    <row r="19" spans="1:6" ht="12.75">
      <c r="A19" s="66" t="s">
        <v>50</v>
      </c>
      <c r="B19" s="57"/>
      <c r="C19" s="57"/>
      <c r="D19" s="57"/>
      <c r="E19" s="57"/>
      <c r="F19" s="70"/>
    </row>
    <row r="20" spans="1:6" ht="12.75">
      <c r="A20" s="66" t="s">
        <v>51</v>
      </c>
      <c r="B20" s="57"/>
      <c r="C20" s="57"/>
      <c r="D20" s="57"/>
      <c r="E20" s="57"/>
      <c r="F20" s="70"/>
    </row>
    <row r="21" spans="1:6" ht="12.75">
      <c r="A21" s="63" t="s">
        <v>309</v>
      </c>
      <c r="B21" s="57">
        <f>'3rd Year IS'!B10</f>
        <v>20741</v>
      </c>
      <c r="C21" s="57">
        <f>'3rd Year IS'!C10</f>
        <v>20741</v>
      </c>
      <c r="D21" s="57">
        <f>'3rd Year IS'!D10</f>
        <v>20741</v>
      </c>
      <c r="E21" s="57">
        <f>'3rd Year IS'!E10</f>
        <v>20741</v>
      </c>
      <c r="F21" s="70">
        <f aca="true" t="shared" si="0" ref="F21:F33">SUM(B21:E21)</f>
        <v>82964</v>
      </c>
    </row>
    <row r="22" spans="1:6" ht="12.75">
      <c r="A22" s="63" t="s">
        <v>310</v>
      </c>
      <c r="B22" s="57">
        <f>+$B$46*B21</f>
        <v>15555.75</v>
      </c>
      <c r="C22" s="57">
        <f>+$B$46*C21</f>
        <v>15555.75</v>
      </c>
      <c r="D22" s="57">
        <f>+$B$46*D21</f>
        <v>15555.75</v>
      </c>
      <c r="E22" s="57">
        <f>+$B$46*E21</f>
        <v>15555.75</v>
      </c>
      <c r="F22" s="70">
        <f t="shared" si="0"/>
        <v>62223</v>
      </c>
    </row>
    <row r="23" spans="1:6" ht="12.75">
      <c r="A23" s="63" t="s">
        <v>311</v>
      </c>
      <c r="B23" s="57">
        <f>+'2nd Year BS'!I9+('3rd Year CF'!B22*(1-$B$47/90))</f>
        <v>15498.116666666665</v>
      </c>
      <c r="C23" s="57">
        <f>+C22*(1-$B$47/90)+(B22*$B$47/90)</f>
        <v>15555.75</v>
      </c>
      <c r="D23" s="57">
        <f>+D22*(1-$B$47/90)+(C22*$B$47/90)</f>
        <v>15555.75</v>
      </c>
      <c r="E23" s="57">
        <f>+E22*(1-$B$47/90)+(D22*$B$47/90)</f>
        <v>15555.75</v>
      </c>
      <c r="F23" s="70">
        <f t="shared" si="0"/>
        <v>62165.36666666667</v>
      </c>
    </row>
    <row r="24" spans="1:6" ht="12.75">
      <c r="A24" s="266" t="s">
        <v>312</v>
      </c>
      <c r="B24" s="57">
        <f>+B21+B23-B22</f>
        <v>20683.36666666667</v>
      </c>
      <c r="C24" s="57">
        <f>+C21+C23-C22</f>
        <v>20741</v>
      </c>
      <c r="D24" s="57">
        <f>+D21+D23-D22</f>
        <v>20741</v>
      </c>
      <c r="E24" s="57">
        <f>+E21+E23-E22</f>
        <v>20741</v>
      </c>
      <c r="F24" s="70">
        <f t="shared" si="0"/>
        <v>82906.36666666667</v>
      </c>
    </row>
    <row r="25" spans="1:6" ht="12.75">
      <c r="A25" s="63" t="s">
        <v>52</v>
      </c>
      <c r="B25" s="57">
        <f>+'3rd Year IS'!B15+'3rd Year IS'!B17+'3rd Year IS'!B18+'3rd Year IS'!B20+'3rd Year IS'!B22+'3rd Year IS'!B23+'3rd Year IS'!B24+'3rd Year IS'!B25+'3rd Year IS'!B26+'3rd Year IS'!B27</f>
        <v>8222</v>
      </c>
      <c r="C25" s="57">
        <f>+'3rd Year IS'!C15+'3rd Year IS'!C17+'3rd Year IS'!C18+'3rd Year IS'!C20+'3rd Year IS'!C22+'3rd Year IS'!C23+'3rd Year IS'!C24+'3rd Year IS'!C25+'3rd Year IS'!C26+'3rd Year IS'!C27</f>
        <v>8244</v>
      </c>
      <c r="D25" s="57">
        <f>+'3rd Year IS'!D15+'3rd Year IS'!D17+'3rd Year IS'!D18+'3rd Year IS'!D20+'3rd Year IS'!D22+'3rd Year IS'!D23+'3rd Year IS'!D24+'3rd Year IS'!D25+'3rd Year IS'!D26+'3rd Year IS'!D27</f>
        <v>8244</v>
      </c>
      <c r="E25" s="57">
        <f>+'3rd Year IS'!E15+'3rd Year IS'!E17+'3rd Year IS'!E18+'3rd Year IS'!E20+'3rd Year IS'!E22+'3rd Year IS'!E23+'3rd Year IS'!E24+'3rd Year IS'!E25+'3rd Year IS'!E26+'3rd Year IS'!E27</f>
        <v>8249</v>
      </c>
      <c r="F25" s="70">
        <f t="shared" si="0"/>
        <v>32959</v>
      </c>
    </row>
    <row r="26" spans="1:6" ht="12.75">
      <c r="A26" s="63" t="s">
        <v>53</v>
      </c>
      <c r="B26" s="57">
        <f>+'3rd Year IS'!B14+'3rd Year IS'!B16</f>
        <v>15870</v>
      </c>
      <c r="C26" s="57">
        <f>+'3rd Year IS'!C14+'3rd Year IS'!C16</f>
        <v>15870</v>
      </c>
      <c r="D26" s="57">
        <f>+'3rd Year IS'!D14+'3rd Year IS'!D16</f>
        <v>15870</v>
      </c>
      <c r="E26" s="57">
        <f>+'3rd Year IS'!E14+'3rd Year IS'!E16</f>
        <v>15870</v>
      </c>
      <c r="F26" s="70">
        <f t="shared" si="0"/>
        <v>63480</v>
      </c>
    </row>
    <row r="27" spans="1:6" ht="12.75">
      <c r="A27" s="63" t="s">
        <v>195</v>
      </c>
      <c r="B27" s="57">
        <f>+'3rd Year IS'!B31</f>
        <v>2112.2000000000003</v>
      </c>
      <c r="C27" s="57">
        <f>+'3rd Year IS'!C31</f>
        <v>2113.6</v>
      </c>
      <c r="D27" s="57">
        <f>+'3rd Year IS'!D31</f>
        <v>2122.6</v>
      </c>
      <c r="E27" s="57">
        <f>+'3rd Year IS'!E31</f>
        <v>2134.4</v>
      </c>
      <c r="F27" s="70">
        <f t="shared" si="0"/>
        <v>8482.8</v>
      </c>
    </row>
    <row r="28" spans="1:8" ht="12.75">
      <c r="A28" s="63" t="s">
        <v>111</v>
      </c>
      <c r="B28" s="13">
        <f>SUM('Pmt Schedule'!E34:E36)</f>
        <v>2277</v>
      </c>
      <c r="C28" s="13">
        <f>SUM('Pmt Schedule'!E37:E39)</f>
        <v>2322</v>
      </c>
      <c r="D28" s="13">
        <f>SUM('Pmt Schedule'!E40:E42)</f>
        <v>2368</v>
      </c>
      <c r="E28" s="13">
        <f>SUM('Pmt Schedule'!E43:E45)</f>
        <v>2416</v>
      </c>
      <c r="F28" s="70">
        <f t="shared" si="0"/>
        <v>9383</v>
      </c>
      <c r="H28" s="30"/>
    </row>
    <row r="29" spans="1:6" ht="12.75">
      <c r="A29" s="63" t="s">
        <v>112</v>
      </c>
      <c r="B29" s="57">
        <f>+'3rd Year IS'!B21</f>
        <v>1092</v>
      </c>
      <c r="C29" s="57">
        <f>+'3rd Year IS'!C21</f>
        <v>1062</v>
      </c>
      <c r="D29" s="57">
        <f>+'3rd Year IS'!D21</f>
        <v>1017</v>
      </c>
      <c r="E29" s="57">
        <f>+'3rd Year IS'!E21</f>
        <v>953</v>
      </c>
      <c r="F29" s="70">
        <f t="shared" si="0"/>
        <v>4124</v>
      </c>
    </row>
    <row r="30" spans="1:6" ht="12.75">
      <c r="A30" s="63" t="s">
        <v>67</v>
      </c>
      <c r="B30" s="184">
        <f>IF(I25=0,0,I25-I14)</f>
        <v>0</v>
      </c>
      <c r="C30" s="184">
        <v>0</v>
      </c>
      <c r="D30" s="184">
        <v>0</v>
      </c>
      <c r="E30" s="184">
        <v>0</v>
      </c>
      <c r="F30" s="70">
        <f t="shared" si="0"/>
        <v>0</v>
      </c>
    </row>
    <row r="31" spans="1:6" ht="12.75">
      <c r="A31" s="63" t="s">
        <v>305</v>
      </c>
      <c r="B31" s="184">
        <v>0</v>
      </c>
      <c r="C31" s="184">
        <v>0</v>
      </c>
      <c r="D31" s="184">
        <v>0</v>
      </c>
      <c r="E31" s="184">
        <v>0</v>
      </c>
      <c r="F31" s="70">
        <f t="shared" si="0"/>
        <v>0</v>
      </c>
    </row>
    <row r="32" spans="1:6" ht="12.75">
      <c r="A32" s="63" t="s">
        <v>200</v>
      </c>
      <c r="B32" s="184">
        <v>0</v>
      </c>
      <c r="C32" s="184">
        <v>0</v>
      </c>
      <c r="D32" s="184">
        <v>0</v>
      </c>
      <c r="E32" s="184">
        <v>0</v>
      </c>
      <c r="F32" s="70">
        <f t="shared" si="0"/>
        <v>0</v>
      </c>
    </row>
    <row r="33" spans="1:6" ht="12.75">
      <c r="A33" s="63" t="s">
        <v>54</v>
      </c>
      <c r="B33" s="184">
        <v>4500</v>
      </c>
      <c r="C33" s="184">
        <v>4500</v>
      </c>
      <c r="D33" s="184">
        <v>4500</v>
      </c>
      <c r="E33" s="184">
        <v>4500</v>
      </c>
      <c r="F33" s="70">
        <f t="shared" si="0"/>
        <v>18000</v>
      </c>
    </row>
    <row r="34" spans="1:6" ht="13.5" thickBot="1">
      <c r="A34" s="66" t="s">
        <v>55</v>
      </c>
      <c r="B34" s="350">
        <f>SUM(B24:B33)</f>
        <v>54756.566666666666</v>
      </c>
      <c r="C34" s="350">
        <f>SUM(C24:C33)</f>
        <v>54852.6</v>
      </c>
      <c r="D34" s="350">
        <f>SUM(D24:D33)</f>
        <v>54862.6</v>
      </c>
      <c r="E34" s="350">
        <f>SUM(E24:E33)</f>
        <v>54863.4</v>
      </c>
      <c r="F34" s="351">
        <f>SUM(F24:F33)</f>
        <v>219335.16666666666</v>
      </c>
    </row>
    <row r="35" spans="1:6" ht="13.5" thickTop="1">
      <c r="A35" s="66" t="s">
        <v>56</v>
      </c>
      <c r="B35" s="57">
        <f>B17-B34</f>
        <v>4504.433333333334</v>
      </c>
      <c r="C35" s="57">
        <f>C17-C34</f>
        <v>4407.4000000000015</v>
      </c>
      <c r="D35" s="57">
        <f>D17-D34</f>
        <v>4397.4000000000015</v>
      </c>
      <c r="E35" s="57">
        <f>E17-E34</f>
        <v>4396.5999999999985</v>
      </c>
      <c r="F35" s="70">
        <f>F17-F34</f>
        <v>17705.833333333343</v>
      </c>
    </row>
    <row r="36" spans="1:6" ht="12.75">
      <c r="A36" s="66"/>
      <c r="B36" s="57"/>
      <c r="C36" s="57"/>
      <c r="D36" s="57"/>
      <c r="E36" s="57"/>
      <c r="F36" s="70"/>
    </row>
    <row r="37" spans="1:6" ht="12.75">
      <c r="A37" s="63" t="s">
        <v>57</v>
      </c>
      <c r="B37" s="57">
        <f>'2nd Year CF'!E40</f>
        <v>52914.6583333333</v>
      </c>
      <c r="C37" s="57">
        <f>B40</f>
        <v>57419.09166666663</v>
      </c>
      <c r="D37" s="57">
        <f>C40</f>
        <v>61826.49166666663</v>
      </c>
      <c r="E37" s="57">
        <f>D40</f>
        <v>66223.89166666663</v>
      </c>
      <c r="F37" s="70">
        <f>B37</f>
        <v>52914.6583333333</v>
      </c>
    </row>
    <row r="38" spans="1:6" ht="12.75">
      <c r="A38" s="63" t="s">
        <v>41</v>
      </c>
      <c r="B38" s="57">
        <f>B17</f>
        <v>59261</v>
      </c>
      <c r="C38" s="57">
        <f>C17</f>
        <v>59260</v>
      </c>
      <c r="D38" s="57">
        <f>D17</f>
        <v>59260</v>
      </c>
      <c r="E38" s="57">
        <f>E17</f>
        <v>59260</v>
      </c>
      <c r="F38" s="70">
        <f>F17</f>
        <v>237041</v>
      </c>
    </row>
    <row r="39" spans="1:6" ht="12.75">
      <c r="A39" s="63" t="s">
        <v>50</v>
      </c>
      <c r="B39" s="57">
        <f>B34</f>
        <v>54756.566666666666</v>
      </c>
      <c r="C39" s="57">
        <f>C34</f>
        <v>54852.6</v>
      </c>
      <c r="D39" s="57">
        <f>D34</f>
        <v>54862.6</v>
      </c>
      <c r="E39" s="57">
        <f>E34</f>
        <v>54863.4</v>
      </c>
      <c r="F39" s="70">
        <f>F34</f>
        <v>219335.16666666666</v>
      </c>
    </row>
    <row r="40" spans="1:6" ht="13.5" thickBot="1">
      <c r="A40" s="66" t="s">
        <v>58</v>
      </c>
      <c r="B40" s="354">
        <f>B37+B38-B39</f>
        <v>57419.09166666663</v>
      </c>
      <c r="C40" s="354">
        <f>C37+C38-C39</f>
        <v>61826.49166666663</v>
      </c>
      <c r="D40" s="354">
        <f>D37+D38-D39</f>
        <v>66223.89166666663</v>
      </c>
      <c r="E40" s="354">
        <f>E37+E38-E39</f>
        <v>70620.49166666664</v>
      </c>
      <c r="F40" s="355">
        <f>F37+F38-F39</f>
        <v>70620.49166666667</v>
      </c>
    </row>
    <row r="41" spans="1:6" ht="13.5" thickTop="1">
      <c r="A41" s="104"/>
      <c r="B41" s="133"/>
      <c r="C41" s="133"/>
      <c r="D41" s="133"/>
      <c r="E41" s="133"/>
      <c r="F41" s="134"/>
    </row>
    <row r="43" spans="1:6" ht="12.75">
      <c r="A43" s="138" t="s">
        <v>110</v>
      </c>
      <c r="B43" s="80"/>
      <c r="C43"/>
      <c r="D43"/>
      <c r="E43"/>
      <c r="F43"/>
    </row>
    <row r="44" spans="1:6" ht="12.75">
      <c r="A44" t="s">
        <v>75</v>
      </c>
      <c r="B44" s="183">
        <v>0</v>
      </c>
      <c r="C44"/>
      <c r="D44"/>
      <c r="E44"/>
      <c r="F44"/>
    </row>
    <row r="45" spans="1:6" ht="12.75">
      <c r="A45" t="s">
        <v>267</v>
      </c>
      <c r="B45" s="211">
        <v>0</v>
      </c>
      <c r="C45"/>
      <c r="D45"/>
      <c r="E45"/>
      <c r="F45"/>
    </row>
    <row r="46" spans="1:2" ht="12.75">
      <c r="A46" t="s">
        <v>313</v>
      </c>
      <c r="B46" s="303">
        <v>0.75</v>
      </c>
    </row>
    <row r="47" spans="1:2" ht="12.75">
      <c r="A47" t="s">
        <v>319</v>
      </c>
      <c r="B47" s="196">
        <v>7</v>
      </c>
    </row>
    <row r="49" spans="4:7" ht="12.75">
      <c r="D49" s="31" t="s">
        <v>355</v>
      </c>
      <c r="E49" s="31"/>
      <c r="F49" s="31"/>
      <c r="G49" s="31"/>
    </row>
    <row r="50" spans="4:7" ht="12.75">
      <c r="D50" s="31" t="s">
        <v>346</v>
      </c>
      <c r="E50" s="31"/>
      <c r="F50" s="31"/>
      <c r="G50" s="31"/>
    </row>
    <row r="51" spans="4:7" ht="12.75">
      <c r="D51" s="31" t="s">
        <v>347</v>
      </c>
      <c r="E51" s="31"/>
      <c r="F51" s="31"/>
      <c r="G51" s="31"/>
    </row>
    <row r="69" spans="1:5" ht="12.75">
      <c r="A69" t="s">
        <v>66</v>
      </c>
      <c r="B69">
        <v>27</v>
      </c>
      <c r="C69">
        <v>30</v>
      </c>
      <c r="D69">
        <v>33</v>
      </c>
      <c r="E69">
        <v>36</v>
      </c>
    </row>
  </sheetData>
  <mergeCells count="4">
    <mergeCell ref="A1:F1"/>
    <mergeCell ref="A2:F2"/>
    <mergeCell ref="A3:F3"/>
    <mergeCell ref="A4:F4"/>
  </mergeCells>
  <printOptions horizontalCentered="1"/>
  <pageMargins left="0.78" right="0.87" top="1.5" bottom="0.55" header="0.5" footer="0.29"/>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4.xml><?xml version="1.0" encoding="utf-8"?>
<worksheet xmlns="http://schemas.openxmlformats.org/spreadsheetml/2006/main" xmlns:r="http://schemas.openxmlformats.org/officeDocument/2006/relationships">
  <sheetPr codeName="Sheet10"/>
  <dimension ref="A1:I36"/>
  <sheetViews>
    <sheetView workbookViewId="0" topLeftCell="A13">
      <selection activeCell="A1" sqref="A1:I1"/>
    </sheetView>
  </sheetViews>
  <sheetFormatPr defaultColWidth="9.140625" defaultRowHeight="12.75"/>
  <cols>
    <col min="1" max="1" width="4.8515625" style="0" customWidth="1"/>
    <col min="2" max="2" width="25.421875" style="0" customWidth="1"/>
    <col min="3" max="3" width="2.421875" style="0" customWidth="1"/>
    <col min="4" max="4" width="10.7109375" style="0" customWidth="1"/>
    <col min="5" max="5" width="3.00390625" style="0" customWidth="1"/>
    <col min="6" max="6" width="5.28125" style="0" customWidth="1"/>
    <col min="8" max="8" width="11.421875" style="0" customWidth="1"/>
    <col min="9" max="9" width="11.7109375" style="0" customWidth="1"/>
  </cols>
  <sheetData>
    <row r="1" spans="1:9" ht="15.75">
      <c r="A1" s="421" t="str">
        <f>'B Balance sheet'!A1</f>
        <v>Speedy B's LLC - NEW</v>
      </c>
      <c r="B1" s="422"/>
      <c r="C1" s="422"/>
      <c r="D1" s="422"/>
      <c r="E1" s="422"/>
      <c r="F1" s="422"/>
      <c r="G1" s="422"/>
      <c r="H1" s="422"/>
      <c r="I1" s="423"/>
    </row>
    <row r="2" spans="1:9" ht="15.75">
      <c r="A2" s="444" t="s">
        <v>0</v>
      </c>
      <c r="B2" s="445"/>
      <c r="C2" s="445"/>
      <c r="D2" s="445"/>
      <c r="E2" s="445"/>
      <c r="F2" s="445"/>
      <c r="G2" s="445"/>
      <c r="H2" s="445"/>
      <c r="I2" s="446"/>
    </row>
    <row r="3" spans="1:9" ht="15.75">
      <c r="A3" s="444" t="s">
        <v>145</v>
      </c>
      <c r="B3" s="445"/>
      <c r="C3" s="445"/>
      <c r="D3" s="445"/>
      <c r="E3" s="445"/>
      <c r="F3" s="445"/>
      <c r="G3" s="445"/>
      <c r="H3" s="445"/>
      <c r="I3" s="446"/>
    </row>
    <row r="4" spans="1:9" ht="15.75">
      <c r="A4" s="427">
        <f>'3rd Year IS'!A4:F4</f>
        <v>40056</v>
      </c>
      <c r="B4" s="428"/>
      <c r="C4" s="428"/>
      <c r="D4" s="428"/>
      <c r="E4" s="428"/>
      <c r="F4" s="428"/>
      <c r="G4" s="428"/>
      <c r="H4" s="428"/>
      <c r="I4" s="429"/>
    </row>
    <row r="5" spans="1:9" ht="12.75">
      <c r="A5" s="100"/>
      <c r="B5" s="86"/>
      <c r="C5" s="86"/>
      <c r="D5" s="86"/>
      <c r="E5" s="86"/>
      <c r="F5" s="86"/>
      <c r="G5" s="86"/>
      <c r="H5" s="86"/>
      <c r="I5" s="87"/>
    </row>
    <row r="6" spans="1:9" ht="12.75">
      <c r="A6" s="112" t="str">
        <f>'2nd Year BS'!A6</f>
        <v>ASSETS</v>
      </c>
      <c r="B6" s="102"/>
      <c r="C6" s="102"/>
      <c r="D6" s="57"/>
      <c r="E6" s="102"/>
      <c r="F6" s="113" t="str">
        <f>'2nd Year BS'!F6</f>
        <v>LIABILITIES</v>
      </c>
      <c r="G6" s="102"/>
      <c r="H6" s="102"/>
      <c r="I6" s="103"/>
    </row>
    <row r="7" spans="1:9" ht="12.75">
      <c r="A7" s="101" t="str">
        <f>'2nd Year BS'!A7</f>
        <v>Current Assets</v>
      </c>
      <c r="B7" s="102"/>
      <c r="C7" s="102"/>
      <c r="D7" s="57"/>
      <c r="E7" s="102"/>
      <c r="F7" s="102" t="str">
        <f>'2nd Year BS'!F7</f>
        <v>Current Liabilities</v>
      </c>
      <c r="G7" s="102"/>
      <c r="H7" s="102"/>
      <c r="I7" s="70"/>
    </row>
    <row r="8" spans="1:9" ht="12.75">
      <c r="A8" s="105"/>
      <c r="B8" s="98" t="str">
        <f>'2nd Year BS'!B8</f>
        <v>Cash</v>
      </c>
      <c r="C8" s="98"/>
      <c r="D8" s="363">
        <f>'3rd Year CF'!E40</f>
        <v>70620.49166666664</v>
      </c>
      <c r="E8" s="363"/>
      <c r="F8" s="363"/>
      <c r="G8" s="363" t="str">
        <f>'2nd Year BS'!G8</f>
        <v>CPLTD</v>
      </c>
      <c r="H8" s="363"/>
      <c r="I8" s="356">
        <f>SUM('Pmt Schedule'!E46:E57)</f>
        <v>10161</v>
      </c>
    </row>
    <row r="9" spans="1:9" ht="12.75">
      <c r="A9" s="105"/>
      <c r="B9" s="98" t="str">
        <f>'2nd Year BS'!B9</f>
        <v>Inventory</v>
      </c>
      <c r="C9" s="98"/>
      <c r="D9" s="363">
        <f>+'2nd Year BS'!D9+'3rd Year CF'!F32</f>
        <v>4500</v>
      </c>
      <c r="E9" s="363"/>
      <c r="F9" s="363"/>
      <c r="G9" s="363" t="str">
        <f>'2nd Year BS'!G9</f>
        <v>Trade Payable</v>
      </c>
      <c r="H9" s="363"/>
      <c r="I9" s="356">
        <f>'2nd Year BS'!I9-'3rd Year CF'!F31+('3rd Year CF'!F21-'3rd Year CF'!F24)</f>
        <v>1209.8916666666628</v>
      </c>
    </row>
    <row r="10" spans="1:9" ht="12.75">
      <c r="A10" s="105"/>
      <c r="B10" s="98" t="str">
        <f>'2nd Year BS'!B10</f>
        <v>Account Receivable</v>
      </c>
      <c r="C10" s="98"/>
      <c r="D10" s="363">
        <f>'2nd Year BS'!D10+'3rd Year CF'!F9-'3rd Year CF'!F10</f>
        <v>0</v>
      </c>
      <c r="E10" s="363"/>
      <c r="F10" s="363"/>
      <c r="G10" s="363" t="str">
        <f>'2nd Year BS'!G10</f>
        <v>Accrued Salary</v>
      </c>
      <c r="H10" s="363"/>
      <c r="I10" s="356">
        <v>0</v>
      </c>
    </row>
    <row r="11" spans="1:9" ht="12.75">
      <c r="A11" s="105"/>
      <c r="B11" s="98" t="s">
        <v>115</v>
      </c>
      <c r="C11" s="98"/>
      <c r="D11" s="363">
        <f>+I26-D24</f>
        <v>0.10833333335176576</v>
      </c>
      <c r="E11" s="363"/>
      <c r="F11" s="363"/>
      <c r="G11" s="363" t="str">
        <f>'2nd Year BS'!G11</f>
        <v>Taxes Payable</v>
      </c>
      <c r="H11" s="363"/>
      <c r="I11" s="356">
        <f>'2nd Year BS'!I11</f>
        <v>0</v>
      </c>
    </row>
    <row r="12" spans="1:9" ht="12.75">
      <c r="A12" s="105"/>
      <c r="B12" s="98" t="str">
        <f>'2nd Year BS'!B12</f>
        <v>Office Supplies</v>
      </c>
      <c r="C12" s="98"/>
      <c r="D12" s="363">
        <f>'2nd Year BS'!D12</f>
        <v>0</v>
      </c>
      <c r="E12" s="363"/>
      <c r="F12" s="363"/>
      <c r="G12" s="363" t="str">
        <f>'2nd Year BS'!G12</f>
        <v>Other</v>
      </c>
      <c r="H12" s="363"/>
      <c r="I12" s="357">
        <v>0</v>
      </c>
    </row>
    <row r="13" spans="1:9" ht="12.75">
      <c r="A13" s="105"/>
      <c r="B13" s="98" t="str">
        <f>'2nd Year BS'!B13</f>
        <v>Prepaid Expenses / Deposits</v>
      </c>
      <c r="C13" s="98"/>
      <c r="D13" s="383">
        <f>'2nd Year BS'!D13</f>
        <v>0</v>
      </c>
      <c r="E13" s="363"/>
      <c r="F13" s="363"/>
      <c r="G13" s="363"/>
      <c r="H13" s="363"/>
      <c r="I13" s="356"/>
    </row>
    <row r="14" spans="1:9" ht="12.75">
      <c r="A14" s="105" t="str">
        <f>'2nd Year BS'!A14</f>
        <v>     Total Current Assets</v>
      </c>
      <c r="B14" s="98"/>
      <c r="C14" s="98"/>
      <c r="D14" s="363">
        <f>SUM(D8:D13)</f>
        <v>75120.59999999999</v>
      </c>
      <c r="E14" s="363"/>
      <c r="F14" s="363" t="str">
        <f>'2nd Year BS'!F14</f>
        <v>   Total Current Liabilities</v>
      </c>
      <c r="G14" s="363"/>
      <c r="H14" s="363"/>
      <c r="I14" s="356">
        <f>ROUND(SUM(I8:I13),0)</f>
        <v>11371</v>
      </c>
    </row>
    <row r="15" spans="1:9" ht="12.75">
      <c r="A15" s="105"/>
      <c r="B15" s="98"/>
      <c r="C15" s="98"/>
      <c r="D15" s="363"/>
      <c r="E15" s="363"/>
      <c r="F15" s="363"/>
      <c r="G15" s="363"/>
      <c r="H15" s="363"/>
      <c r="I15" s="356"/>
    </row>
    <row r="16" spans="1:9" ht="12.75">
      <c r="A16" s="105"/>
      <c r="B16" s="98"/>
      <c r="C16" s="98"/>
      <c r="D16" s="363"/>
      <c r="E16" s="363"/>
      <c r="F16" s="363" t="str">
        <f>'2nd Year BS'!F16</f>
        <v>Long Term Liabilities</v>
      </c>
      <c r="G16" s="363"/>
      <c r="H16" s="363"/>
      <c r="I16" s="356"/>
    </row>
    <row r="17" spans="1:9" ht="12.75">
      <c r="A17" s="105"/>
      <c r="B17" s="98" t="str">
        <f>'2nd Year BS'!B17</f>
        <v>Land</v>
      </c>
      <c r="C17" s="98"/>
      <c r="D17" s="363">
        <f>'2nd Year BS'!D17</f>
        <v>0</v>
      </c>
      <c r="E17" s="363"/>
      <c r="F17" s="363"/>
      <c r="G17" s="363" t="str">
        <f>'2nd Year BS'!G17</f>
        <v>Term Debt LTP</v>
      </c>
      <c r="H17" s="363"/>
      <c r="I17" s="356">
        <f>+'Pmt Schedule'!F45-'3rd Year BS'!I8</f>
        <v>35792</v>
      </c>
    </row>
    <row r="18" spans="1:9" ht="12.75">
      <c r="A18" s="105"/>
      <c r="B18" s="98" t="str">
        <f>'2nd Year BS'!B18</f>
        <v>Buildings</v>
      </c>
      <c r="C18" s="98"/>
      <c r="D18" s="363">
        <f>'2nd Year BS'!D18</f>
        <v>0</v>
      </c>
      <c r="E18" s="363"/>
      <c r="F18" s="363"/>
      <c r="G18" s="363" t="str">
        <f>'2nd Year BS'!G18</f>
        <v>Other</v>
      </c>
      <c r="H18" s="363"/>
      <c r="I18" s="356">
        <f>'2nd Year BS'!I18</f>
        <v>0</v>
      </c>
    </row>
    <row r="19" spans="1:9" ht="12.75">
      <c r="A19" s="105"/>
      <c r="B19" s="98" t="str">
        <f>'2nd Year BS'!B19</f>
        <v>Equipment</v>
      </c>
      <c r="C19" s="98"/>
      <c r="D19" s="363">
        <f>'2nd Year BS'!D19</f>
        <v>30000</v>
      </c>
      <c r="E19" s="363"/>
      <c r="F19" s="363" t="str">
        <f>'2nd Year BS'!F19</f>
        <v>   Total Long Term Liabilities</v>
      </c>
      <c r="G19" s="363"/>
      <c r="H19" s="363"/>
      <c r="I19" s="357">
        <f>SUM(I17:I18)</f>
        <v>35792</v>
      </c>
    </row>
    <row r="20" spans="1:9" ht="12.75">
      <c r="A20" s="105"/>
      <c r="B20" s="98" t="str">
        <f>'2nd Year BS'!B20</f>
        <v>Other Fixed Assets</v>
      </c>
      <c r="C20" s="98"/>
      <c r="D20" s="363">
        <f>'2nd Year BS'!D20</f>
        <v>25500</v>
      </c>
      <c r="E20" s="363"/>
      <c r="F20" s="363"/>
      <c r="G20" s="363"/>
      <c r="H20" s="363"/>
      <c r="I20" s="356"/>
    </row>
    <row r="21" spans="1:9" ht="12.75">
      <c r="A21" s="105"/>
      <c r="B21" s="98" t="str">
        <f>'2nd Year BS'!B21</f>
        <v>Accum Depreciation</v>
      </c>
      <c r="C21" s="98"/>
      <c r="D21" s="383">
        <f>'2nd Year BS'!D21-'3rd Year IS'!F19</f>
        <v>-33300</v>
      </c>
      <c r="E21" s="363"/>
      <c r="F21" s="364" t="str">
        <f>'2nd Year BS'!F21</f>
        <v>Total Liabilities</v>
      </c>
      <c r="G21" s="363"/>
      <c r="H21" s="363"/>
      <c r="I21" s="356">
        <f>I14+I19</f>
        <v>47163</v>
      </c>
    </row>
    <row r="22" spans="1:9" ht="12.75">
      <c r="A22" s="105" t="str">
        <f>'2nd Year BS'!A22</f>
        <v> Total Net Fixed Assets</v>
      </c>
      <c r="B22" s="105"/>
      <c r="C22" s="98"/>
      <c r="D22" s="363">
        <f>SUM(D17:D21)</f>
        <v>22200</v>
      </c>
      <c r="E22" s="363"/>
      <c r="F22" s="386"/>
      <c r="G22" s="386"/>
      <c r="H22" s="386"/>
      <c r="I22" s="356"/>
    </row>
    <row r="23" spans="1:9" ht="12.75">
      <c r="A23" s="105"/>
      <c r="B23" s="98"/>
      <c r="C23" s="98"/>
      <c r="D23" s="363"/>
      <c r="E23" s="363"/>
      <c r="F23" s="364" t="str">
        <f>'2nd Year BS'!F23</f>
        <v>OWNERS EQUITY</v>
      </c>
      <c r="G23" s="363"/>
      <c r="H23" s="363" t="s">
        <v>164</v>
      </c>
      <c r="I23" s="356">
        <f>-'3rd Year CF'!F33</f>
        <v>-18000</v>
      </c>
    </row>
    <row r="24" spans="1:9" ht="12.75">
      <c r="A24" s="105"/>
      <c r="B24" s="98"/>
      <c r="C24" s="98"/>
      <c r="D24" s="365">
        <f>+D8+D9+D10+D12+D13+D22</f>
        <v>97320.49166666664</v>
      </c>
      <c r="E24" s="363"/>
      <c r="F24" s="363"/>
      <c r="G24" s="366" t="s">
        <v>93</v>
      </c>
      <c r="H24" s="363" t="str">
        <f>'2nd Year BS'!G24</f>
        <v>Capital</v>
      </c>
      <c r="I24" s="357">
        <f>+'2nd Year BS'!I25+'3rd Year IS'!F32</f>
        <v>68157.59999999999</v>
      </c>
    </row>
    <row r="25" spans="1:9" ht="12.75">
      <c r="A25" s="105"/>
      <c r="B25" s="98"/>
      <c r="C25" s="98"/>
      <c r="D25" s="363"/>
      <c r="E25" s="363"/>
      <c r="F25" s="364" t="str">
        <f>'2nd Year BS'!F25</f>
        <v>  Total Owners Equity</v>
      </c>
      <c r="G25" s="363"/>
      <c r="H25" s="363"/>
      <c r="I25" s="357">
        <f>SUM(I23:I24)</f>
        <v>50157.59999999999</v>
      </c>
    </row>
    <row r="26" spans="1:9" ht="13.5" thickBot="1">
      <c r="A26" s="114" t="str">
        <f>'2nd Year BS'!A26</f>
        <v>Total Assets</v>
      </c>
      <c r="B26" s="105"/>
      <c r="C26" s="98"/>
      <c r="D26" s="387">
        <f>D14+D22</f>
        <v>97320.59999999999</v>
      </c>
      <c r="E26" s="363"/>
      <c r="F26" s="364" t="str">
        <f>'2nd Year BS'!F26</f>
        <v>Total Liabilities and Owners Equity</v>
      </c>
      <c r="G26" s="363"/>
      <c r="H26" s="363"/>
      <c r="I26" s="388">
        <f>I14+I19+I25</f>
        <v>97320.59999999999</v>
      </c>
    </row>
    <row r="27" spans="1:9" ht="13.5" thickTop="1">
      <c r="A27" s="104"/>
      <c r="B27" s="32"/>
      <c r="C27" s="32"/>
      <c r="D27" s="45"/>
      <c r="E27" s="45"/>
      <c r="F27" s="45"/>
      <c r="G27" s="32"/>
      <c r="H27" s="45"/>
      <c r="I27" s="68"/>
    </row>
    <row r="28" spans="3:6" ht="12.75">
      <c r="C28" s="30"/>
      <c r="F28" s="30"/>
    </row>
    <row r="29" spans="3:8" ht="12.75">
      <c r="C29" s="47"/>
      <c r="H29" s="48"/>
    </row>
    <row r="30" ht="12.75">
      <c r="H30" s="48"/>
    </row>
    <row r="31" ht="12.75">
      <c r="H31" s="48"/>
    </row>
    <row r="32" ht="12.75">
      <c r="H32" s="48"/>
    </row>
    <row r="33" ht="12.75">
      <c r="H33" s="48"/>
    </row>
    <row r="34" ht="12.75">
      <c r="H34" s="48"/>
    </row>
    <row r="35" ht="12.75">
      <c r="H35" s="48"/>
    </row>
    <row r="36" ht="12.75">
      <c r="H36" s="48"/>
    </row>
  </sheetData>
  <mergeCells count="4">
    <mergeCell ref="A1:I1"/>
    <mergeCell ref="A2:I2"/>
    <mergeCell ref="A3:I3"/>
    <mergeCell ref="A4:I4"/>
  </mergeCells>
  <printOptions/>
  <pageMargins left="1.65" right="0.75" top="1.32"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5.xml><?xml version="1.0" encoding="utf-8"?>
<worksheet xmlns="http://schemas.openxmlformats.org/spreadsheetml/2006/main" xmlns:r="http://schemas.openxmlformats.org/officeDocument/2006/relationships">
  <sheetPr codeName="Sheet13"/>
  <dimension ref="A1:N68"/>
  <sheetViews>
    <sheetView workbookViewId="0" topLeftCell="A10">
      <selection activeCell="D44" sqref="D44"/>
    </sheetView>
  </sheetViews>
  <sheetFormatPr defaultColWidth="9.140625" defaultRowHeight="12.75"/>
  <cols>
    <col min="1" max="1" width="25.140625" style="0" bestFit="1" customWidth="1"/>
  </cols>
  <sheetData>
    <row r="1" spans="1:2" ht="15.75">
      <c r="A1" s="421" t="str">
        <f>'3rd Year IS'!A1:F1</f>
        <v>Speedy B's LLC - NEW</v>
      </c>
      <c r="B1" s="423"/>
    </row>
    <row r="2" spans="1:2" ht="15.75">
      <c r="A2" s="444" t="str">
        <f>'3rd Year IS'!A2:F2</f>
        <v>Income Statement</v>
      </c>
      <c r="B2" s="446"/>
    </row>
    <row r="3" spans="1:2" ht="15.75">
      <c r="A3" s="444" t="str">
        <f>'3rd Year IS'!A3:F3</f>
        <v>For Year Ending</v>
      </c>
      <c r="B3" s="446"/>
    </row>
    <row r="4" spans="1:2" ht="15.75">
      <c r="A4" s="427">
        <f>EOMONTH(+'3rd Year IS'!A4:F4,12)</f>
        <v>40421</v>
      </c>
      <c r="B4" s="429"/>
    </row>
    <row r="5" spans="1:2" ht="12.75">
      <c r="A5" s="100"/>
      <c r="B5" s="87"/>
    </row>
    <row r="6" spans="1:2" ht="12.75">
      <c r="A6" s="101"/>
      <c r="B6" s="88" t="s">
        <v>72</v>
      </c>
    </row>
    <row r="7" spans="1:2" ht="12.75">
      <c r="A7" s="101" t="str">
        <f>'3rd Year IS'!A7:F7</f>
        <v>Gross Sales</v>
      </c>
      <c r="B7" s="356">
        <f>ROUND('3rd Year IS'!F7*(1+'4th Year IS'!B35),0)</f>
        <v>248893</v>
      </c>
    </row>
    <row r="8" spans="1:2" ht="12.75">
      <c r="A8" s="101" t="str">
        <f>'3rd Year IS'!A8:F8</f>
        <v> Less return &amp; allowances</v>
      </c>
      <c r="B8" s="356">
        <f>ROUND(B7*B39,0)</f>
        <v>0</v>
      </c>
    </row>
    <row r="9" spans="1:2" ht="12.75">
      <c r="A9" s="101" t="str">
        <f>'3rd Year IS'!A9:F9</f>
        <v>      Net Sales</v>
      </c>
      <c r="B9" s="356">
        <f>B7-B8</f>
        <v>248893</v>
      </c>
    </row>
    <row r="10" spans="1:2" ht="12.75">
      <c r="A10" s="101" t="str">
        <f>'3rd Year IS'!A10:F10</f>
        <v>  Cost of Goods</v>
      </c>
      <c r="B10" s="357">
        <f>ROUND(B7*B37,0)</f>
        <v>87113</v>
      </c>
    </row>
    <row r="11" spans="1:2" ht="12.75">
      <c r="A11" s="112" t="str">
        <f>'3rd Year IS'!A11:F11</f>
        <v>GROSS PROFIT</v>
      </c>
      <c r="B11" s="356">
        <f>B9-B10</f>
        <v>161780</v>
      </c>
    </row>
    <row r="12" spans="1:2" ht="12.75">
      <c r="A12" s="101"/>
      <c r="B12" s="356"/>
    </row>
    <row r="13" spans="1:2" ht="12.75">
      <c r="A13" s="101" t="str">
        <f>'3rd Year IS'!A13:F13</f>
        <v>G &amp; A Expenses</v>
      </c>
      <c r="B13" s="356"/>
    </row>
    <row r="14" spans="1:2" ht="12.75">
      <c r="A14" s="101" t="str">
        <f>'3rd Year IS'!A14:F14</f>
        <v>Salary Expense</v>
      </c>
      <c r="B14" s="356">
        <f>ROUND('3rd Year IS'!F14*(1+'4th Year IS'!B36),0)</f>
        <v>58562</v>
      </c>
    </row>
    <row r="15" spans="1:2" ht="12.75">
      <c r="A15" s="101" t="str">
        <f>'3rd Year IS'!A15:F15</f>
        <v>Rent</v>
      </c>
      <c r="B15" s="356">
        <f>ROUND('3rd Year IS'!F15*('4th Year IS'!$B$36+1),0)</f>
        <v>8524</v>
      </c>
    </row>
    <row r="16" spans="1:2" ht="12.75">
      <c r="A16" s="101" t="str">
        <f>'3rd Year IS'!A16:F16</f>
        <v>Payroll taxes</v>
      </c>
      <c r="B16" s="356">
        <f>ROUND(B14*E39,0)</f>
        <v>6822</v>
      </c>
    </row>
    <row r="17" spans="1:2" ht="12.75">
      <c r="A17" s="101" t="str">
        <f>'3rd Year IS'!A17:F17</f>
        <v>Travel &amp; Enter.</v>
      </c>
      <c r="B17" s="356">
        <f>ROUND('3rd Year IS'!F17*('4th Year IS'!$B$36+1),0)</f>
        <v>1730</v>
      </c>
    </row>
    <row r="18" spans="1:2" ht="12.75">
      <c r="A18" s="101" t="str">
        <f>'3rd Year IS'!A18:F18</f>
        <v>Prof. &amp; Acctg</v>
      </c>
      <c r="B18" s="356">
        <f>ROUND('3rd Year IS'!F18*('4th Year IS'!$B$36+1),0)</f>
        <v>325</v>
      </c>
    </row>
    <row r="19" spans="1:2" ht="12.75">
      <c r="A19" s="101" t="str">
        <f>'3rd Year IS'!A19:F19</f>
        <v>Depreciation</v>
      </c>
      <c r="B19" s="356">
        <f>(+'3rd Year BS'!D18+'3rd Year BS'!D19+'3rd Year BS'!D20)/'B Balance sheet'!C29</f>
        <v>11100</v>
      </c>
    </row>
    <row r="20" spans="1:2" ht="12.75">
      <c r="A20" s="101" t="str">
        <f>'3rd Year IS'!A20:F20</f>
        <v>Insurance</v>
      </c>
      <c r="B20" s="356">
        <f>ROUND('3rd Year IS'!F20*('4th Year IS'!$B$36+1),0)</f>
        <v>4761</v>
      </c>
    </row>
    <row r="21" spans="1:2" ht="12.75">
      <c r="A21" s="101" t="str">
        <f>'3rd Year IS'!A21:F21</f>
        <v>Interest</v>
      </c>
      <c r="B21" s="356">
        <f>SUM('Pmt Schedule'!D46:D57)</f>
        <v>3315</v>
      </c>
    </row>
    <row r="22" spans="1:2" ht="12.75">
      <c r="A22" s="101" t="str">
        <f>'3rd Year IS'!A22:F22</f>
        <v>Rep &amp; Maint.</v>
      </c>
      <c r="B22" s="356">
        <f>ROUND('3rd Year IS'!F22*('4th Year IS'!$B$36+1),0)</f>
        <v>1335</v>
      </c>
    </row>
    <row r="23" spans="1:2" ht="12.75">
      <c r="A23" s="101" t="str">
        <f>'3rd Year IS'!A23:F23</f>
        <v>Util. &amp; Phone</v>
      </c>
      <c r="B23" s="356">
        <f>ROUND('3rd Year IS'!F23*('4th Year IS'!$B$36+1),0)</f>
        <v>10696</v>
      </c>
    </row>
    <row r="24" spans="1:2" ht="12.75">
      <c r="A24" s="101" t="str">
        <f>'3rd Year IS'!A24:F24</f>
        <v>Office Supplies</v>
      </c>
      <c r="B24" s="356">
        <f>ROUND('3rd Year IS'!F24*('4th Year IS'!$B$36+1),0)</f>
        <v>2006</v>
      </c>
    </row>
    <row r="25" spans="1:2" ht="12.75">
      <c r="A25" s="101" t="str">
        <f>'3rd Year IS'!A25:F25</f>
        <v>Other Taxes</v>
      </c>
      <c r="B25" s="356">
        <f>ROUND('3rd Year IS'!F25*('4th Year IS'!$B$36+1),0)</f>
        <v>0</v>
      </c>
    </row>
    <row r="26" spans="1:2" ht="12.75">
      <c r="A26" s="101" t="str">
        <f>'3rd Year IS'!A26:F26</f>
        <v>Marketing</v>
      </c>
      <c r="B26" s="357">
        <f>ROUND(B9*B38,0)</f>
        <v>1244</v>
      </c>
    </row>
    <row r="27" spans="1:2" ht="12.75">
      <c r="A27" s="101" t="s">
        <v>326</v>
      </c>
      <c r="B27" s="357">
        <f>ROUND(B10*B39,0)</f>
        <v>0</v>
      </c>
    </row>
    <row r="28" spans="1:2" ht="12.75">
      <c r="A28" s="112" t="str">
        <f>'3rd Year IS'!A28:F28</f>
        <v>Total G&amp;A Exp.</v>
      </c>
      <c r="B28" s="357">
        <f>SUM(B14:B27)</f>
        <v>110420</v>
      </c>
    </row>
    <row r="29" spans="1:2" ht="12.75">
      <c r="A29" s="101"/>
      <c r="B29" s="356"/>
    </row>
    <row r="30" spans="1:2" ht="12.75">
      <c r="A30" s="115" t="str">
        <f>'3rd Year IS'!A30:F30</f>
        <v>Net Income BT</v>
      </c>
      <c r="B30" s="357">
        <f>B11-B28</f>
        <v>51360</v>
      </c>
    </row>
    <row r="31" spans="1:2" ht="12.75">
      <c r="A31" s="205" t="s">
        <v>195</v>
      </c>
      <c r="B31" s="358">
        <f>+B30*B40</f>
        <v>10272</v>
      </c>
    </row>
    <row r="32" spans="1:2" ht="13.5" thickBot="1">
      <c r="A32" s="206" t="s">
        <v>196</v>
      </c>
      <c r="B32" s="359">
        <f>+B30-B31</f>
        <v>41088</v>
      </c>
    </row>
    <row r="33" spans="1:5" ht="13.5" thickTop="1">
      <c r="A33" s="60" t="s">
        <v>93</v>
      </c>
      <c r="B33" s="33"/>
      <c r="C33" s="33"/>
      <c r="D33" s="33"/>
      <c r="E33" s="33"/>
    </row>
    <row r="34" spans="1:5" ht="12.75">
      <c r="A34" s="144" t="s">
        <v>106</v>
      </c>
      <c r="B34" s="33"/>
      <c r="C34" s="33" t="s">
        <v>93</v>
      </c>
      <c r="D34" s="33"/>
      <c r="E34" s="33"/>
    </row>
    <row r="35" spans="1:5" ht="12.75">
      <c r="A35" s="60" t="s">
        <v>73</v>
      </c>
      <c r="B35" s="178">
        <v>0.05</v>
      </c>
      <c r="C35" s="33" t="s">
        <v>36</v>
      </c>
      <c r="D35" s="33"/>
      <c r="E35" s="182">
        <v>0.0765</v>
      </c>
    </row>
    <row r="36" spans="1:5" ht="12.75">
      <c r="A36" s="60" t="s">
        <v>74</v>
      </c>
      <c r="B36" s="178">
        <v>0.03</v>
      </c>
      <c r="C36" s="33" t="s">
        <v>37</v>
      </c>
      <c r="D36" s="33"/>
      <c r="E36" s="182">
        <v>0.01</v>
      </c>
    </row>
    <row r="37" spans="1:5" ht="12.75">
      <c r="A37" s="60" t="s">
        <v>33</v>
      </c>
      <c r="B37" s="179">
        <v>0.35</v>
      </c>
      <c r="C37" s="33" t="s">
        <v>69</v>
      </c>
      <c r="D37" s="33"/>
      <c r="E37" s="182">
        <v>0.01</v>
      </c>
    </row>
    <row r="38" spans="1:5" ht="12.75">
      <c r="A38" s="60" t="s">
        <v>34</v>
      </c>
      <c r="B38" s="178">
        <v>0.005</v>
      </c>
      <c r="C38" s="33" t="s">
        <v>38</v>
      </c>
      <c r="D38" s="33"/>
      <c r="E38" s="182">
        <v>0.02</v>
      </c>
    </row>
    <row r="39" spans="1:5" ht="12.75">
      <c r="A39" s="61" t="s">
        <v>40</v>
      </c>
      <c r="B39" s="180">
        <v>0</v>
      </c>
      <c r="C39" s="33" t="s">
        <v>39</v>
      </c>
      <c r="D39" s="33"/>
      <c r="E39" s="182">
        <f>SUM(E35:E38)</f>
        <v>0.11649999999999999</v>
      </c>
    </row>
    <row r="40" spans="1:2" ht="12.75">
      <c r="A40" s="97" t="s">
        <v>195</v>
      </c>
      <c r="B40" s="204">
        <v>0.2</v>
      </c>
    </row>
    <row r="41" ht="12.75">
      <c r="A41" s="97"/>
    </row>
    <row r="42" ht="12.75">
      <c r="A42" s="97"/>
    </row>
    <row r="43" ht="12.75">
      <c r="A43" s="97"/>
    </row>
    <row r="44" ht="12.75">
      <c r="A44" s="97"/>
    </row>
    <row r="45" ht="12.75">
      <c r="A45" s="97"/>
    </row>
    <row r="46" ht="12.75">
      <c r="A46" s="97"/>
    </row>
    <row r="47" ht="12.75">
      <c r="A47" s="97"/>
    </row>
    <row r="48" ht="12.75">
      <c r="A48" s="97"/>
    </row>
    <row r="49" ht="12.75">
      <c r="A49" s="97"/>
    </row>
    <row r="50" ht="12.75">
      <c r="A50" s="97"/>
    </row>
    <row r="51" ht="12.75">
      <c r="A51" s="97"/>
    </row>
    <row r="65" spans="1:2" ht="12.75">
      <c r="A65" t="s">
        <v>81</v>
      </c>
      <c r="B65">
        <v>48</v>
      </c>
    </row>
    <row r="67" spans="2:13" ht="12.75">
      <c r="B67">
        <v>37</v>
      </c>
      <c r="C67">
        <v>38</v>
      </c>
      <c r="D67">
        <v>39</v>
      </c>
      <c r="E67">
        <v>40</v>
      </c>
      <c r="F67">
        <v>41</v>
      </c>
      <c r="G67">
        <v>42</v>
      </c>
      <c r="H67">
        <v>43</v>
      </c>
      <c r="I67">
        <v>44</v>
      </c>
      <c r="J67">
        <v>45</v>
      </c>
      <c r="K67">
        <v>46</v>
      </c>
      <c r="L67">
        <v>47</v>
      </c>
      <c r="M67">
        <v>48</v>
      </c>
    </row>
    <row r="68" spans="1:14" ht="12.75">
      <c r="A68" t="s">
        <v>84</v>
      </c>
      <c r="B68">
        <f>IF($B$67&gt;12*'B Balance sheet'!$L$19,"",ROUND((-IPMT('B Balance sheet'!$L$18/12,B$67,'B Balance sheet'!$L$19*12,'B Balance sheet'!$H$17+'1st year Cash Flow'!$B$15+'2nd Year CF'!$B$15)),0))</f>
      </c>
      <c r="C68">
        <f>IF($B$67&gt;12*'B Balance sheet'!$L$19,"",ROUND((-IPMT('B Balance sheet'!$L$18/12,C$67,'B Balance sheet'!$L$19*12,'B Balance sheet'!$H$17+'1st year Cash Flow'!$B$15+'2nd Year CF'!$B$15)),0))</f>
      </c>
      <c r="D68">
        <f>IF($B$67&gt;12*'B Balance sheet'!$L$19,"",ROUND((-IPMT('B Balance sheet'!$L$18/12,D$67,'B Balance sheet'!$L$19*12,'B Balance sheet'!$H$17+'1st year Cash Flow'!$B$15+'2nd Year CF'!$B$15)),0))</f>
      </c>
      <c r="E68">
        <f>IF($B$67&gt;12*'B Balance sheet'!$L$19,"",ROUND((-IPMT('B Balance sheet'!$L$18/12,E$67,'B Balance sheet'!$L$19*12,'B Balance sheet'!$H$17+'1st year Cash Flow'!$B$15+'2nd Year CF'!$B$15)),0))</f>
      </c>
      <c r="F68">
        <f>IF($B$67&gt;12*'B Balance sheet'!$L$19,"",ROUND((-IPMT('B Balance sheet'!$L$18/12,F$67,'B Balance sheet'!$L$19*12,'B Balance sheet'!$H$17+'1st year Cash Flow'!$B$15+'2nd Year CF'!$B$15)),0))</f>
      </c>
      <c r="G68">
        <f>IF($B$67&gt;12*'B Balance sheet'!$L$19,"",ROUND((-IPMT('B Balance sheet'!$L$18/12,G$67,'B Balance sheet'!$L$19*12,'B Balance sheet'!$H$17+'1st year Cash Flow'!$B$15+'2nd Year CF'!$B$15)),0))</f>
      </c>
      <c r="H68">
        <f>IF($B$67&gt;12*'B Balance sheet'!$L$19,"",ROUND((-IPMT('B Balance sheet'!$L$18/12,H$67,'B Balance sheet'!$L$19*12,'B Balance sheet'!$H$17+'1st year Cash Flow'!$B$15+'2nd Year CF'!$B$15)),0))</f>
      </c>
      <c r="I68">
        <f>IF($B$67&gt;12*'B Balance sheet'!$L$19,"",ROUND((-IPMT('B Balance sheet'!$L$18/12,I$67,'B Balance sheet'!$L$19*12,'B Balance sheet'!$H$17+'1st year Cash Flow'!$B$15+'2nd Year CF'!$B$15)),0))</f>
      </c>
      <c r="J68">
        <f>IF($B$67&gt;12*'B Balance sheet'!$L$19,"",ROUND((-IPMT('B Balance sheet'!$L$18/12,J$67,'B Balance sheet'!$L$19*12,'B Balance sheet'!$H$17+'1st year Cash Flow'!$B$15+'2nd Year CF'!$B$15)),0))</f>
      </c>
      <c r="K68">
        <f>IF($B$67&gt;12*'B Balance sheet'!$L$19,"",ROUND((-IPMT('B Balance sheet'!$L$18/12,K$67,'B Balance sheet'!$L$19*12,'B Balance sheet'!$H$17+'1st year Cash Flow'!$B$15+'2nd Year CF'!$B$15)),0))</f>
      </c>
      <c r="L68">
        <f>IF($B$67&gt;12*'B Balance sheet'!$L$19,"",ROUND((-IPMT('B Balance sheet'!$L$18/12,L$67,'B Balance sheet'!$L$19*12,'B Balance sheet'!$H$17+'1st year Cash Flow'!$B$15+'2nd Year CF'!$B$15)),0))</f>
      </c>
      <c r="M68">
        <f>IF($B$67&gt;12*'B Balance sheet'!$L$19,"",ROUND((-IPMT('B Balance sheet'!$L$18/12,M$67,'B Balance sheet'!$L$19*12,'B Balance sheet'!$H$17+'1st year Cash Flow'!$B$15+'2nd Year CF'!$B$15)),0))</f>
      </c>
      <c r="N68" s="31">
        <f>ROUND(SUM(B68:M68),0)</f>
        <v>0</v>
      </c>
    </row>
  </sheetData>
  <mergeCells count="4">
    <mergeCell ref="A1:B1"/>
    <mergeCell ref="A2:B2"/>
    <mergeCell ref="A3:B3"/>
    <mergeCell ref="A4:B4"/>
  </mergeCells>
  <printOptions/>
  <pageMargins left="1.29" right="0.75" top="1"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10" formula="1"/>
  </ignoredErrors>
</worksheet>
</file>

<file path=xl/worksheets/sheet16.xml><?xml version="1.0" encoding="utf-8"?>
<worksheet xmlns="http://schemas.openxmlformats.org/spreadsheetml/2006/main" xmlns:r="http://schemas.openxmlformats.org/officeDocument/2006/relationships">
  <sheetPr codeName="Sheet14"/>
  <dimension ref="A1:B67"/>
  <sheetViews>
    <sheetView workbookViewId="0" topLeftCell="A31">
      <selection activeCell="D45" sqref="D45"/>
    </sheetView>
  </sheetViews>
  <sheetFormatPr defaultColWidth="9.140625" defaultRowHeight="12.75"/>
  <cols>
    <col min="1" max="1" width="26.8515625" style="0" bestFit="1" customWidth="1"/>
    <col min="4" max="4" width="13.8515625" style="0" bestFit="1" customWidth="1"/>
  </cols>
  <sheetData>
    <row r="1" spans="1:2" ht="15.75">
      <c r="A1" s="421" t="str">
        <f>'3rd Year CF'!A1:F1</f>
        <v>Speedy B's LLC - NEW</v>
      </c>
      <c r="B1" s="423"/>
    </row>
    <row r="2" spans="1:2" ht="15.75">
      <c r="A2" s="444" t="str">
        <f>'3rd Year CF'!A2:F2</f>
        <v>Cash Flow Statement</v>
      </c>
      <c r="B2" s="446"/>
    </row>
    <row r="3" spans="1:2" ht="15.75">
      <c r="A3" s="444" t="str">
        <f>'3rd Year CF'!A3:F3</f>
        <v>For Year Ending</v>
      </c>
      <c r="B3" s="446"/>
    </row>
    <row r="4" spans="1:2" ht="15.75">
      <c r="A4" s="427">
        <f>'4th Year IS'!A4:B4</f>
        <v>40421</v>
      </c>
      <c r="B4" s="429"/>
    </row>
    <row r="5" spans="1:2" ht="12.75">
      <c r="A5" s="100"/>
      <c r="B5" s="87"/>
    </row>
    <row r="6" spans="1:2" ht="12.75">
      <c r="A6" s="101"/>
      <c r="B6" s="62"/>
    </row>
    <row r="7" spans="1:2" ht="12.75">
      <c r="A7" s="112" t="str">
        <f>'3rd Year CF'!A7:F7</f>
        <v>Cash Receipts</v>
      </c>
      <c r="B7" s="62"/>
    </row>
    <row r="8" spans="1:2" ht="12.75">
      <c r="A8" s="101" t="s">
        <v>76</v>
      </c>
      <c r="B8" s="70">
        <f>'4th Year IS'!B9</f>
        <v>248893</v>
      </c>
    </row>
    <row r="9" spans="1:2" ht="12.75">
      <c r="A9" s="101" t="str">
        <f>'3rd Year CF'!A9:F9</f>
        <v>  A/R Sales</v>
      </c>
      <c r="B9" s="70">
        <f>B8*B44</f>
        <v>0</v>
      </c>
    </row>
    <row r="10" spans="1:2" ht="12.75">
      <c r="A10" s="101" t="str">
        <f>'3rd Year CF'!A10:F10</f>
        <v>  A/R Collections</v>
      </c>
      <c r="B10" s="125">
        <f>+B9*(1-$B45/360)+'3rd Year BS'!D10</f>
        <v>0</v>
      </c>
    </row>
    <row r="11" spans="1:2" ht="12.75">
      <c r="A11" s="112" t="str">
        <f>'3rd Year CF'!A11:F11</f>
        <v>Total Cash from Sales</v>
      </c>
      <c r="B11" s="70">
        <f>B8+B10-B9</f>
        <v>248893</v>
      </c>
    </row>
    <row r="12" spans="1:2" ht="12.75">
      <c r="A12" s="101"/>
      <c r="B12" s="70"/>
    </row>
    <row r="13" spans="1:2" ht="12.75">
      <c r="A13" s="112" t="str">
        <f>'3rd Year CF'!A13:F13</f>
        <v>Income from Financing</v>
      </c>
      <c r="B13" s="70"/>
    </row>
    <row r="14" spans="1:2" ht="12.75">
      <c r="A14" s="101" t="str">
        <f>'3rd Year CF'!A14:F14</f>
        <v>  Interest Income</v>
      </c>
      <c r="B14" s="185">
        <v>0</v>
      </c>
    </row>
    <row r="15" spans="1:2" ht="12.75">
      <c r="A15" s="101" t="str">
        <f>'3rd Year CF'!A15:F15</f>
        <v>  Loan Proceeds</v>
      </c>
      <c r="B15" s="185">
        <v>0</v>
      </c>
    </row>
    <row r="16" spans="1:2" ht="12.75">
      <c r="A16" s="101" t="str">
        <f>'3rd Year CF'!A16:F16</f>
        <v>  Other Cash Receipts</v>
      </c>
      <c r="B16" s="186">
        <v>0</v>
      </c>
    </row>
    <row r="17" spans="1:2" ht="12.75">
      <c r="A17" s="112" t="str">
        <f>'3rd Year CF'!A17:F17</f>
        <v>Total Cash Receipts</v>
      </c>
      <c r="B17" s="70">
        <f>SUM(B13:B16)+B11</f>
        <v>248893</v>
      </c>
    </row>
    <row r="18" spans="1:2" ht="12.75">
      <c r="A18" s="101"/>
      <c r="B18" s="70"/>
    </row>
    <row r="19" spans="1:2" ht="12.75">
      <c r="A19" s="112" t="str">
        <f>'3rd Year CF'!A19:F19</f>
        <v>Cash Disbursements</v>
      </c>
      <c r="B19" s="70"/>
    </row>
    <row r="20" spans="1:2" ht="12.75">
      <c r="A20" s="112" t="str">
        <f>'3rd Year CF'!A20:F20</f>
        <v>Expenses</v>
      </c>
      <c r="B20" s="70"/>
    </row>
    <row r="21" spans="1:2" ht="12.75">
      <c r="A21" s="101" t="str">
        <f>'3rd Year CF'!A21:F21</f>
        <v> Cost of Goods</v>
      </c>
      <c r="B21" s="70">
        <f>'4th Year IS'!B10</f>
        <v>87113</v>
      </c>
    </row>
    <row r="22" spans="1:2" ht="12.75">
      <c r="A22" s="101" t="s">
        <v>310</v>
      </c>
      <c r="B22" s="70">
        <f>+B21*B46</f>
        <v>65334.75</v>
      </c>
    </row>
    <row r="23" spans="1:2" ht="12.75">
      <c r="A23" s="101" t="s">
        <v>311</v>
      </c>
      <c r="B23" s="70">
        <f>+B22*(1-B47/360)+'3rd Year BS'!I9</f>
        <v>65274.243749999994</v>
      </c>
    </row>
    <row r="24" spans="1:2" ht="12.75">
      <c r="A24" s="112" t="s">
        <v>318</v>
      </c>
      <c r="B24" s="70">
        <f>+B21+B23-B22</f>
        <v>87052.49375</v>
      </c>
    </row>
    <row r="25" spans="1:2" ht="12.75">
      <c r="A25" s="101" t="str">
        <f>'3rd Year CF'!A25:F25</f>
        <v>Operating expenses</v>
      </c>
      <c r="B25" s="70">
        <f>+'4th Year IS'!B15+'4th Year IS'!B17+'4th Year IS'!B18+'4th Year IS'!B20+'4th Year IS'!B22+'4th Year IS'!B23+'4th Year IS'!B24+'4th Year IS'!B25+'4th Year IS'!B26+'4th Year IS'!B27</f>
        <v>30621</v>
      </c>
    </row>
    <row r="26" spans="1:2" ht="12.75">
      <c r="A26" s="101" t="str">
        <f>'3rd Year CF'!A26:F26</f>
        <v>Salary expenses</v>
      </c>
      <c r="B26" s="70">
        <f>+'4th Year IS'!B14+'4th Year IS'!B16</f>
        <v>65384</v>
      </c>
    </row>
    <row r="27" spans="1:2" ht="12.75">
      <c r="A27" s="101" t="s">
        <v>195</v>
      </c>
      <c r="B27" s="70">
        <f>+'4th Year IS'!B31</f>
        <v>10272</v>
      </c>
    </row>
    <row r="28" spans="1:2" ht="12.75">
      <c r="A28" s="101" t="str">
        <f>'3rd Year CF'!A28:F28</f>
        <v>Loan payment, principal</v>
      </c>
      <c r="B28" s="360">
        <f>SUM('Pmt Schedule'!E46:E57)</f>
        <v>10161</v>
      </c>
    </row>
    <row r="29" spans="1:2" ht="12.75">
      <c r="A29" s="101" t="str">
        <f>'3rd Year CF'!A29:F29</f>
        <v>Loan payment, interest</v>
      </c>
      <c r="B29" s="70">
        <f>+'4th Year IS'!B21</f>
        <v>3315</v>
      </c>
    </row>
    <row r="30" spans="1:2" ht="12.75">
      <c r="A30" s="101" t="str">
        <f>'3rd Year CF'!A30:F30</f>
        <v>Other Capital Expenses</v>
      </c>
      <c r="B30" s="185">
        <v>0</v>
      </c>
    </row>
    <row r="31" spans="1:2" ht="12.75">
      <c r="A31" s="101" t="s">
        <v>304</v>
      </c>
      <c r="B31" s="185">
        <v>0</v>
      </c>
    </row>
    <row r="32" spans="1:2" ht="12.75">
      <c r="A32" s="101" t="str">
        <f>'3rd Year CF'!A32:F32</f>
        <v>Inventory Inc(Dec)rease</v>
      </c>
      <c r="B32" s="185">
        <v>0</v>
      </c>
    </row>
    <row r="33" spans="1:2" ht="12.75">
      <c r="A33" s="101" t="str">
        <f>'3rd Year CF'!A33:F33</f>
        <v>Owners Draw</v>
      </c>
      <c r="B33" s="185">
        <v>26000</v>
      </c>
    </row>
    <row r="34" spans="1:2" ht="12.75">
      <c r="A34" s="112" t="str">
        <f>'3rd Year CF'!A34:F34</f>
        <v>Total cash disbursements</v>
      </c>
      <c r="B34" s="70">
        <f>SUM(B24:B33)</f>
        <v>232805.49375</v>
      </c>
    </row>
    <row r="35" spans="1:2" ht="13.5" thickBot="1">
      <c r="A35" s="112" t="str">
        <f>'3rd Year CF'!A35:F35</f>
        <v>Net Cash Flow</v>
      </c>
      <c r="B35" s="351">
        <f>B17-B34</f>
        <v>16087.506250000006</v>
      </c>
    </row>
    <row r="36" spans="1:2" ht="13.5" thickTop="1">
      <c r="A36" s="101"/>
      <c r="B36" s="70"/>
    </row>
    <row r="37" spans="1:2" ht="12.75">
      <c r="A37" s="101" t="str">
        <f>'3rd Year CF'!A37:F37</f>
        <v>Opening Cash Balance</v>
      </c>
      <c r="B37" s="70">
        <f>'3rd Year CF'!E40</f>
        <v>70620.49166666664</v>
      </c>
    </row>
    <row r="38" spans="1:2" ht="12.75">
      <c r="A38" s="101" t="str">
        <f>'3rd Year CF'!A38:F38</f>
        <v>Cash Receipts</v>
      </c>
      <c r="B38" s="70">
        <f>B17</f>
        <v>248893</v>
      </c>
    </row>
    <row r="39" spans="1:2" ht="12.75">
      <c r="A39" s="101" t="str">
        <f>'3rd Year CF'!A39:F39</f>
        <v>Cash Disbursements</v>
      </c>
      <c r="B39" s="70">
        <f>B34</f>
        <v>232805.49375</v>
      </c>
    </row>
    <row r="40" spans="1:2" ht="13.5" thickBot="1">
      <c r="A40" s="112" t="str">
        <f>'3rd Year CF'!A40:F40</f>
        <v>ENDING CASH BALANCE</v>
      </c>
      <c r="B40" s="351">
        <f>B37+B38-B39</f>
        <v>86707.99791666665</v>
      </c>
    </row>
    <row r="41" spans="1:2" ht="13.5" thickTop="1">
      <c r="A41" s="117"/>
      <c r="B41" s="125"/>
    </row>
    <row r="42" ht="12.75">
      <c r="A42" s="97"/>
    </row>
    <row r="43" ht="12.75">
      <c r="A43" s="138" t="s">
        <v>191</v>
      </c>
    </row>
    <row r="44" spans="1:2" ht="12.75">
      <c r="A44" t="s">
        <v>75</v>
      </c>
      <c r="B44" s="183">
        <v>0</v>
      </c>
    </row>
    <row r="45" spans="1:2" ht="12.75">
      <c r="A45" t="s">
        <v>203</v>
      </c>
      <c r="B45" s="211">
        <v>0</v>
      </c>
    </row>
    <row r="46" spans="1:2" ht="12.75">
      <c r="A46" t="s">
        <v>313</v>
      </c>
      <c r="B46" s="303">
        <v>0.75</v>
      </c>
    </row>
    <row r="47" spans="1:2" ht="12.75">
      <c r="A47" t="s">
        <v>314</v>
      </c>
      <c r="B47" s="198">
        <v>7</v>
      </c>
    </row>
    <row r="67" spans="1:2" ht="12.75">
      <c r="A67" t="s">
        <v>82</v>
      </c>
      <c r="B67">
        <v>48</v>
      </c>
    </row>
  </sheetData>
  <mergeCells count="4">
    <mergeCell ref="A1:B1"/>
    <mergeCell ref="A2:B2"/>
    <mergeCell ref="A3:B3"/>
    <mergeCell ref="A4:B4"/>
  </mergeCells>
  <printOptions/>
  <pageMargins left="1.32" right="0.75" top="1"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7.xml><?xml version="1.0" encoding="utf-8"?>
<worksheet xmlns="http://schemas.openxmlformats.org/spreadsheetml/2006/main" xmlns:r="http://schemas.openxmlformats.org/officeDocument/2006/relationships">
  <sheetPr codeName="Sheet15"/>
  <dimension ref="A1:I35"/>
  <sheetViews>
    <sheetView workbookViewId="0" topLeftCell="A7">
      <selection activeCell="A1" sqref="A1:I1"/>
    </sheetView>
  </sheetViews>
  <sheetFormatPr defaultColWidth="9.140625" defaultRowHeight="12.75"/>
  <cols>
    <col min="1" max="1" width="2.7109375" style="0" customWidth="1"/>
    <col min="2" max="2" width="22.7109375" style="0" customWidth="1"/>
    <col min="3" max="3" width="4.57421875" style="0" hidden="1" customWidth="1"/>
    <col min="4" max="4" width="12.28125" style="0" customWidth="1"/>
    <col min="5" max="5" width="1.421875" style="0" customWidth="1"/>
    <col min="6" max="6" width="19.140625" style="0" customWidth="1"/>
    <col min="7" max="7" width="16.421875" style="0" bestFit="1" customWidth="1"/>
    <col min="8" max="8" width="3.28125" style="0" customWidth="1"/>
    <col min="9" max="9" width="11.7109375" style="0" customWidth="1"/>
  </cols>
  <sheetData>
    <row r="1" spans="1:9" ht="15.75">
      <c r="A1" s="447" t="str">
        <f>'3rd Year BS'!A1:I1</f>
        <v>Speedy B's LLC - NEW</v>
      </c>
      <c r="B1" s="447"/>
      <c r="C1" s="447"/>
      <c r="D1" s="447"/>
      <c r="E1" s="447"/>
      <c r="F1" s="447"/>
      <c r="G1" s="447"/>
      <c r="H1" s="447"/>
      <c r="I1" s="447"/>
    </row>
    <row r="2" spans="1:9" ht="15.75">
      <c r="A2" s="447" t="str">
        <f>'3rd Year BS'!A2:I2</f>
        <v>Balance Sheet</v>
      </c>
      <c r="B2" s="447"/>
      <c r="C2" s="447"/>
      <c r="D2" s="447"/>
      <c r="E2" s="447"/>
      <c r="F2" s="447"/>
      <c r="G2" s="447"/>
      <c r="H2" s="447"/>
      <c r="I2" s="447"/>
    </row>
    <row r="3" spans="1:9" ht="15.75">
      <c r="A3" s="447" t="str">
        <f>'3rd Year BS'!A3:I3</f>
        <v>For Year Ending</v>
      </c>
      <c r="B3" s="447"/>
      <c r="C3" s="447"/>
      <c r="D3" s="447"/>
      <c r="E3" s="447"/>
      <c r="F3" s="447"/>
      <c r="G3" s="447"/>
      <c r="H3" s="447"/>
      <c r="I3" s="447"/>
    </row>
    <row r="4" spans="1:9" ht="15.75">
      <c r="A4" s="447">
        <f>'4th Year IS'!A4:B4</f>
        <v>40421</v>
      </c>
      <c r="B4" s="447"/>
      <c r="C4" s="447"/>
      <c r="D4" s="447"/>
      <c r="E4" s="447"/>
      <c r="F4" s="447"/>
      <c r="G4" s="447"/>
      <c r="H4" s="447"/>
      <c r="I4" s="447"/>
    </row>
    <row r="5" spans="1:9" ht="12.75">
      <c r="A5" s="100"/>
      <c r="B5" s="110"/>
      <c r="C5" s="110"/>
      <c r="D5" s="110"/>
      <c r="E5" s="110"/>
      <c r="F5" s="110"/>
      <c r="G5" s="110"/>
      <c r="H5" s="110"/>
      <c r="I5" s="111"/>
    </row>
    <row r="6" spans="1:9" ht="12.75">
      <c r="A6" s="112" t="str">
        <f>'3rd Year BS'!A6:I6</f>
        <v>ASSETS</v>
      </c>
      <c r="B6" s="102"/>
      <c r="C6" s="102"/>
      <c r="D6" s="102"/>
      <c r="E6" s="102"/>
      <c r="F6" s="113" t="str">
        <f>'3rd Year BS'!F6:N6</f>
        <v>LIABILITIES</v>
      </c>
      <c r="G6" s="102"/>
      <c r="H6" s="102"/>
      <c r="I6" s="103"/>
    </row>
    <row r="7" spans="1:9" ht="12.75">
      <c r="A7" s="101" t="str">
        <f>'3rd Year BS'!A7:I7</f>
        <v>Current Assets</v>
      </c>
      <c r="B7" s="102"/>
      <c r="C7" s="102"/>
      <c r="D7" s="102"/>
      <c r="E7" s="102"/>
      <c r="F7" s="102" t="str">
        <f>'3rd Year BS'!F7:N7</f>
        <v>Current Liabilities</v>
      </c>
      <c r="G7" s="102"/>
      <c r="H7" s="102"/>
      <c r="I7" s="103"/>
    </row>
    <row r="8" spans="1:9" ht="12.75">
      <c r="A8" s="101"/>
      <c r="B8" s="102" t="str">
        <f>'3rd Year BS'!B8:J8</f>
        <v>Cash</v>
      </c>
      <c r="C8" s="102"/>
      <c r="D8" s="57">
        <f>'4th Year CF'!B40</f>
        <v>86707.99791666665</v>
      </c>
      <c r="E8" s="57"/>
      <c r="F8" s="57"/>
      <c r="G8" s="57" t="str">
        <f>'3rd Year BS'!G8:O8</f>
        <v>CPLTD</v>
      </c>
      <c r="H8" s="57"/>
      <c r="I8" s="70">
        <f>SUM('Pmt Schedule'!E57:E69)</f>
        <v>11884</v>
      </c>
    </row>
    <row r="9" spans="1:9" ht="12.75">
      <c r="A9" s="101"/>
      <c r="B9" s="102" t="str">
        <f>'3rd Year BS'!B9:J9</f>
        <v>Inventory</v>
      </c>
      <c r="C9" s="102"/>
      <c r="D9" s="57">
        <f>+'3rd Year BS'!D9+'4th Year CF'!B32</f>
        <v>4500</v>
      </c>
      <c r="E9" s="57"/>
      <c r="F9" s="57"/>
      <c r="G9" s="57" t="str">
        <f>'3rd Year BS'!G9:O9</f>
        <v>Trade Payable</v>
      </c>
      <c r="H9" s="57"/>
      <c r="I9" s="70">
        <f>'3rd Year BS'!I9-'4th Year CF'!B32-('4th Year CF'!B24-'4th Year CF'!B21)</f>
        <v>1270.3979166666686</v>
      </c>
    </row>
    <row r="10" spans="1:9" ht="12.75">
      <c r="A10" s="101"/>
      <c r="B10" s="102" t="str">
        <f>'3rd Year BS'!B10:J10</f>
        <v>Account Receivable</v>
      </c>
      <c r="C10" s="102"/>
      <c r="D10" s="57">
        <f>'3rd Year BS'!D10+'4th Year CF'!B9-'4th Year CF'!B10</f>
        <v>0</v>
      </c>
      <c r="E10" s="57"/>
      <c r="F10" s="57"/>
      <c r="G10" s="57" t="str">
        <f>'3rd Year BS'!G10:O10</f>
        <v>Accrued Salary</v>
      </c>
      <c r="H10" s="57"/>
      <c r="I10" s="70">
        <v>0</v>
      </c>
    </row>
    <row r="11" spans="1:9" ht="12.75">
      <c r="A11" s="101"/>
      <c r="B11" s="102" t="str">
        <f>'3rd Year BS'!B11:J11</f>
        <v>Excess Cash</v>
      </c>
      <c r="C11" s="102"/>
      <c r="D11" s="57">
        <f>+I26-D24</f>
        <v>0</v>
      </c>
      <c r="E11" s="57"/>
      <c r="F11" s="57"/>
      <c r="G11" s="57" t="str">
        <f>'3rd Year BS'!G11:O11</f>
        <v>Taxes Payable</v>
      </c>
      <c r="H11" s="57"/>
      <c r="I11" s="70">
        <f>'3rd Year BS'!I11</f>
        <v>0</v>
      </c>
    </row>
    <row r="12" spans="1:9" ht="12.75">
      <c r="A12" s="101"/>
      <c r="B12" s="102" t="str">
        <f>'3rd Year BS'!B12:J12</f>
        <v>Office Supplies</v>
      </c>
      <c r="C12" s="102"/>
      <c r="D12" s="57">
        <f>'3rd Year BS'!D12</f>
        <v>0</v>
      </c>
      <c r="E12" s="57"/>
      <c r="F12" s="57"/>
      <c r="G12" s="57" t="str">
        <f>'3rd Year BS'!G12:O12</f>
        <v>Other</v>
      </c>
      <c r="H12" s="57"/>
      <c r="I12" s="70">
        <v>0</v>
      </c>
    </row>
    <row r="13" spans="1:9" ht="12.75">
      <c r="A13" s="101"/>
      <c r="B13" s="102" t="str">
        <f>'3rd Year BS'!B13:J13</f>
        <v>Prepaid Expenses / Deposits</v>
      </c>
      <c r="C13" s="102"/>
      <c r="D13" s="57">
        <f>'3rd Year BS'!D13</f>
        <v>0</v>
      </c>
      <c r="E13" s="57"/>
      <c r="F13" s="57"/>
      <c r="G13" s="57"/>
      <c r="H13" s="57"/>
      <c r="I13" s="70"/>
    </row>
    <row r="14" spans="1:9" ht="12.75">
      <c r="A14" s="101" t="str">
        <f>'3rd Year BS'!A14:I14</f>
        <v>     Total Current Assets</v>
      </c>
      <c r="B14" s="102"/>
      <c r="C14" s="102"/>
      <c r="D14" s="57">
        <f>SUM(D8:D13)</f>
        <v>91207.99791666665</v>
      </c>
      <c r="E14" s="57"/>
      <c r="F14" s="57" t="str">
        <f>'3rd Year BS'!F14:N14</f>
        <v>   Total Current Liabilities</v>
      </c>
      <c r="G14" s="57"/>
      <c r="H14" s="57"/>
      <c r="I14" s="70">
        <f>SUM(I8:I13)</f>
        <v>13154.397916666669</v>
      </c>
    </row>
    <row r="15" spans="1:9" ht="12.75">
      <c r="A15" s="101"/>
      <c r="B15" s="102"/>
      <c r="C15" s="102"/>
      <c r="D15" s="57"/>
      <c r="E15" s="57"/>
      <c r="F15" s="57"/>
      <c r="G15" s="57"/>
      <c r="H15" s="57"/>
      <c r="I15" s="70"/>
    </row>
    <row r="16" spans="1:9" ht="12.75">
      <c r="A16" s="101"/>
      <c r="B16" s="102"/>
      <c r="C16" s="102"/>
      <c r="D16" s="57"/>
      <c r="E16" s="57"/>
      <c r="F16" s="57" t="str">
        <f>'3rd Year BS'!F16:N16</f>
        <v>Long Term Liabilities</v>
      </c>
      <c r="G16" s="57"/>
      <c r="H16" s="57"/>
      <c r="I16" s="70"/>
    </row>
    <row r="17" spans="1:9" ht="12.75">
      <c r="A17" s="101"/>
      <c r="B17" s="102" t="str">
        <f>'3rd Year BS'!B17:J17</f>
        <v>Land</v>
      </c>
      <c r="C17" s="102"/>
      <c r="D17" s="57">
        <f>'3rd Year BS'!D17</f>
        <v>0</v>
      </c>
      <c r="E17" s="57"/>
      <c r="F17" s="57"/>
      <c r="G17" s="57" t="str">
        <f>'3rd Year BS'!G17:O17</f>
        <v>Term Debt LTP</v>
      </c>
      <c r="H17" s="57"/>
      <c r="I17" s="70">
        <f>+'Pmt Schedule'!F57-'4th Year BS'!I8</f>
        <v>23908</v>
      </c>
    </row>
    <row r="18" spans="1:9" ht="12.75">
      <c r="A18" s="101"/>
      <c r="B18" s="102" t="str">
        <f>'3rd Year BS'!B18:J18</f>
        <v>Buildings</v>
      </c>
      <c r="C18" s="102"/>
      <c r="D18" s="57">
        <f>'3rd Year BS'!D18</f>
        <v>0</v>
      </c>
      <c r="E18" s="57"/>
      <c r="F18" s="57"/>
      <c r="G18" s="57" t="str">
        <f>'3rd Year BS'!G18:O18</f>
        <v>Other</v>
      </c>
      <c r="H18" s="57"/>
      <c r="I18" s="70">
        <f>'3rd Year BS'!I18</f>
        <v>0</v>
      </c>
    </row>
    <row r="19" spans="1:9" ht="12.75">
      <c r="A19" s="101"/>
      <c r="B19" s="102" t="str">
        <f>'3rd Year BS'!B19:J19</f>
        <v>Equipment</v>
      </c>
      <c r="C19" s="102"/>
      <c r="D19" s="57">
        <f>'3rd Year BS'!D19</f>
        <v>30000</v>
      </c>
      <c r="E19" s="57"/>
      <c r="F19" s="361" t="str">
        <f>'3rd Year BS'!F19:N19</f>
        <v>   Total Long Term Liabilities</v>
      </c>
      <c r="G19" s="57"/>
      <c r="H19" s="57"/>
      <c r="I19" s="70">
        <f>SUM(I17:I18)</f>
        <v>23908</v>
      </c>
    </row>
    <row r="20" spans="1:9" ht="12.75">
      <c r="A20" s="101"/>
      <c r="B20" s="102" t="str">
        <f>'3rd Year BS'!B20:J20</f>
        <v>Other Fixed Assets</v>
      </c>
      <c r="C20" s="102"/>
      <c r="D20" s="57">
        <f>'3rd Year BS'!D20</f>
        <v>25500</v>
      </c>
      <c r="E20" s="57"/>
      <c r="F20" s="57"/>
      <c r="G20" s="57"/>
      <c r="H20" s="57"/>
      <c r="I20" s="70"/>
    </row>
    <row r="21" spans="1:9" ht="12.75">
      <c r="A21" s="101"/>
      <c r="B21" s="102" t="str">
        <f>'3rd Year BS'!B21:J21</f>
        <v>Accum Depreciation</v>
      </c>
      <c r="C21" s="102"/>
      <c r="D21" s="57">
        <f>'3rd Year BS'!D21-'4th Year IS'!B19</f>
        <v>-44400</v>
      </c>
      <c r="E21" s="57"/>
      <c r="F21" s="361" t="str">
        <f>'3rd Year BS'!F21:N21</f>
        <v>Total Liabilities</v>
      </c>
      <c r="G21" s="57"/>
      <c r="H21" s="57"/>
      <c r="I21" s="70">
        <f>I14+I19</f>
        <v>37062.39791666667</v>
      </c>
    </row>
    <row r="22" spans="1:9" ht="12.75">
      <c r="A22" s="101" t="str">
        <f>'3rd Year BS'!A22:I22</f>
        <v> Total Net Fixed Assets</v>
      </c>
      <c r="B22" s="102"/>
      <c r="C22" s="102"/>
      <c r="D22" s="57">
        <f>SUM(D17:D21)</f>
        <v>11100</v>
      </c>
      <c r="E22" s="57"/>
      <c r="F22" s="57"/>
      <c r="G22" s="57"/>
      <c r="H22" s="57"/>
      <c r="I22" s="70"/>
    </row>
    <row r="23" spans="1:9" ht="12.75">
      <c r="A23" s="101"/>
      <c r="B23" s="102"/>
      <c r="C23" s="102"/>
      <c r="D23" s="57"/>
      <c r="E23" s="57"/>
      <c r="F23" s="361" t="str">
        <f>'3rd Year BS'!F23:N23</f>
        <v>OWNERS EQUITY</v>
      </c>
      <c r="G23" s="57" t="s">
        <v>164</v>
      </c>
      <c r="H23" s="57"/>
      <c r="I23" s="70">
        <f>-'4th Year CF'!B33</f>
        <v>-26000</v>
      </c>
    </row>
    <row r="24" spans="1:9" ht="12.75">
      <c r="A24" s="101"/>
      <c r="B24" s="102"/>
      <c r="C24" s="102"/>
      <c r="D24" s="362">
        <f>+D8+D9+D10+D12+D13+D22</f>
        <v>102307.99791666665</v>
      </c>
      <c r="E24" s="57"/>
      <c r="F24" s="57" t="s">
        <v>113</v>
      </c>
      <c r="G24" s="31"/>
      <c r="H24" s="31"/>
      <c r="I24" s="70">
        <f>+'3rd Year BS'!I25+'4th Year IS'!B32</f>
        <v>91245.59999999999</v>
      </c>
    </row>
    <row r="25" spans="1:9" ht="12.75">
      <c r="A25" s="101"/>
      <c r="B25" s="102"/>
      <c r="C25" s="102"/>
      <c r="D25" s="57"/>
      <c r="E25" s="57"/>
      <c r="F25" s="57" t="str">
        <f>'3rd Year BS'!F25:N25</f>
        <v>  Total Owners Equity</v>
      </c>
      <c r="G25" s="57"/>
      <c r="H25" s="57"/>
      <c r="I25" s="70">
        <f>SUM(I23:I24)</f>
        <v>65245.59999999999</v>
      </c>
    </row>
    <row r="26" spans="1:9" ht="12.75">
      <c r="A26" s="112" t="str">
        <f>'3rd Year BS'!A26:I26</f>
        <v>Total Assets</v>
      </c>
      <c r="B26" s="113"/>
      <c r="C26" s="102"/>
      <c r="D26" s="57">
        <f>D14+D22</f>
        <v>102307.99791666665</v>
      </c>
      <c r="E26" s="57"/>
      <c r="F26" s="361" t="str">
        <f>'3rd Year BS'!F26:N26</f>
        <v>Total Liabilities and Owners Equity</v>
      </c>
      <c r="G26" s="57"/>
      <c r="H26" s="57"/>
      <c r="I26" s="70">
        <f>I21+I25</f>
        <v>102307.99791666666</v>
      </c>
    </row>
    <row r="27" spans="1:9" ht="12.75">
      <c r="A27" s="117"/>
      <c r="B27" s="32"/>
      <c r="C27" s="32"/>
      <c r="D27" s="148"/>
      <c r="E27" s="148"/>
      <c r="F27" s="148"/>
      <c r="G27" s="148"/>
      <c r="H27" s="148"/>
      <c r="I27" s="125"/>
    </row>
    <row r="28" ht="12.75">
      <c r="A28" s="97"/>
    </row>
    <row r="29" ht="12.75">
      <c r="A29" s="97"/>
    </row>
    <row r="30" ht="12.75">
      <c r="A30" s="97"/>
    </row>
    <row r="31" ht="12.75">
      <c r="A31" s="97"/>
    </row>
    <row r="32" ht="12.75">
      <c r="A32" s="97"/>
    </row>
    <row r="33" ht="12.75">
      <c r="A33" s="97"/>
    </row>
    <row r="34" ht="12.75">
      <c r="A34" s="97"/>
    </row>
    <row r="35" ht="12.75">
      <c r="A35" s="97"/>
    </row>
  </sheetData>
  <mergeCells count="4">
    <mergeCell ref="A4:I4"/>
    <mergeCell ref="A1:I1"/>
    <mergeCell ref="A2:I2"/>
    <mergeCell ref="A3:I3"/>
  </mergeCells>
  <printOptions/>
  <pageMargins left="1.77" right="0.75" top="1.23" bottom="1" header="0.5" footer="0.5"/>
  <pageSetup horizontalDpi="600" verticalDpi="6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8.xml><?xml version="1.0" encoding="utf-8"?>
<worksheet xmlns="http://schemas.openxmlformats.org/spreadsheetml/2006/main" xmlns:r="http://schemas.openxmlformats.org/officeDocument/2006/relationships">
  <sheetPr codeName="Sheet16"/>
  <dimension ref="A1:N68"/>
  <sheetViews>
    <sheetView workbookViewId="0" topLeftCell="A13">
      <selection activeCell="H36" sqref="H36"/>
    </sheetView>
  </sheetViews>
  <sheetFormatPr defaultColWidth="9.140625" defaultRowHeight="12.75"/>
  <cols>
    <col min="1" max="1" width="25.140625" style="0" bestFit="1" customWidth="1"/>
  </cols>
  <sheetData>
    <row r="1" spans="1:2" ht="15.75">
      <c r="A1" s="421" t="str">
        <f>'4th Year IS'!A1:B1</f>
        <v>Speedy B's LLC - NEW</v>
      </c>
      <c r="B1" s="423"/>
    </row>
    <row r="2" spans="1:2" ht="15.75">
      <c r="A2" s="444" t="str">
        <f>'4th Year IS'!A2:B2</f>
        <v>Income Statement</v>
      </c>
      <c r="B2" s="446"/>
    </row>
    <row r="3" spans="1:2" ht="15.75">
      <c r="A3" s="444" t="str">
        <f>'4th Year IS'!A3:B3</f>
        <v>For Year Ending</v>
      </c>
      <c r="B3" s="446"/>
    </row>
    <row r="4" spans="1:2" ht="15.75">
      <c r="A4" s="427">
        <f>EOMONTH(+'4th Year IS'!A4:B4,12)</f>
        <v>40786</v>
      </c>
      <c r="B4" s="429"/>
    </row>
    <row r="5" spans="1:2" ht="12.75">
      <c r="A5" s="100"/>
      <c r="B5" s="111"/>
    </row>
    <row r="6" spans="1:2" ht="12.75">
      <c r="A6" s="101"/>
      <c r="B6" s="116" t="str">
        <f>'4th Year IS'!B6:C6</f>
        <v>Total</v>
      </c>
    </row>
    <row r="7" spans="1:2" ht="12.75">
      <c r="A7" s="101" t="str">
        <f>'4th Year IS'!A7:B7</f>
        <v>Gross Sales</v>
      </c>
      <c r="B7" s="356">
        <f>'4th Year IS'!B7*(1+'5th Year IS'!B35)</f>
        <v>261337.65000000002</v>
      </c>
    </row>
    <row r="8" spans="1:2" ht="12.75">
      <c r="A8" s="101" t="s">
        <v>154</v>
      </c>
      <c r="B8" s="356">
        <f>ROUND(B7*B39,0)</f>
        <v>0</v>
      </c>
    </row>
    <row r="9" spans="1:2" ht="12.75">
      <c r="A9" s="101" t="str">
        <f>'4th Year IS'!A9:B9</f>
        <v>      Net Sales</v>
      </c>
      <c r="B9" s="356">
        <f>B7-B8</f>
        <v>261337.65000000002</v>
      </c>
    </row>
    <row r="10" spans="1:2" ht="12.75">
      <c r="A10" s="101" t="str">
        <f>'4th Year IS'!A10:B10</f>
        <v>  Cost of Goods</v>
      </c>
      <c r="B10" s="357">
        <f>ROUND(B7*B37,0)</f>
        <v>91468</v>
      </c>
    </row>
    <row r="11" spans="1:2" ht="12.75">
      <c r="A11" s="112" t="str">
        <f>'4th Year IS'!A11:B11</f>
        <v>GROSS PROFIT</v>
      </c>
      <c r="B11" s="356">
        <f>B9-B10</f>
        <v>169869.65000000002</v>
      </c>
    </row>
    <row r="12" spans="1:2" ht="12.75">
      <c r="A12" s="101"/>
      <c r="B12" s="356"/>
    </row>
    <row r="13" spans="1:2" ht="12.75">
      <c r="A13" s="101" t="str">
        <f>'4th Year IS'!A13:B13</f>
        <v>G &amp; A Expenses</v>
      </c>
      <c r="B13" s="356"/>
    </row>
    <row r="14" spans="1:2" ht="12.75">
      <c r="A14" s="101" t="str">
        <f>'4th Year IS'!A14:B14</f>
        <v>Salary Expense</v>
      </c>
      <c r="B14" s="356">
        <f>ROUND('4th Year IS'!B14*(1+'5th Year IS'!B36),0)</f>
        <v>60319</v>
      </c>
    </row>
    <row r="15" spans="1:2" ht="12.75">
      <c r="A15" s="101" t="str">
        <f>'4th Year IS'!A15:B15</f>
        <v>Rent</v>
      </c>
      <c r="B15" s="356">
        <f>ROUND('4th Year IS'!B15*('5th Year IS'!$B$36+1),0)</f>
        <v>8780</v>
      </c>
    </row>
    <row r="16" spans="1:2" ht="12.75">
      <c r="A16" s="101" t="str">
        <f>'4th Year IS'!A16:B16</f>
        <v>Payroll taxes</v>
      </c>
      <c r="B16" s="356">
        <f>ROUND(B14*E39,0)</f>
        <v>7027</v>
      </c>
    </row>
    <row r="17" spans="1:2" ht="12.75">
      <c r="A17" s="101" t="s">
        <v>150</v>
      </c>
      <c r="B17" s="356">
        <f>ROUND('4th Year IS'!B17*('5th Year IS'!$B$36+1),0)</f>
        <v>1782</v>
      </c>
    </row>
    <row r="18" spans="1:2" ht="12.75">
      <c r="A18" s="101" t="s">
        <v>151</v>
      </c>
      <c r="B18" s="356">
        <f>ROUND('4th Year IS'!B18*('5th Year IS'!$B$36+1),0)</f>
        <v>335</v>
      </c>
    </row>
    <row r="19" spans="1:2" ht="12.75">
      <c r="A19" s="101" t="str">
        <f>'4th Year IS'!A19:B19</f>
        <v>Depreciation</v>
      </c>
      <c r="B19" s="356">
        <f>(+'4th Year BS'!D18+'4th Year BS'!D19+'4th Year BS'!D20)/'B Balance sheet'!C29</f>
        <v>11100</v>
      </c>
    </row>
    <row r="20" spans="1:2" ht="12.75">
      <c r="A20" s="101" t="str">
        <f>'4th Year IS'!A20:B20</f>
        <v>Insurance</v>
      </c>
      <c r="B20" s="356">
        <f>ROUND('4th Year IS'!B20*('5th Year IS'!$B$36+1),0)</f>
        <v>4904</v>
      </c>
    </row>
    <row r="21" spans="1:2" ht="12.75">
      <c r="A21" s="101" t="str">
        <f>'4th Year IS'!A21:B21</f>
        <v>Interest</v>
      </c>
      <c r="B21" s="356">
        <f>SUM('Pmt Schedule'!D58:D69)</f>
        <v>2470</v>
      </c>
    </row>
    <row r="22" spans="1:2" ht="12.75">
      <c r="A22" s="101" t="str">
        <f>'4th Year IS'!A22:B22</f>
        <v>Rep &amp; Maint.</v>
      </c>
      <c r="B22" s="356">
        <f>ROUND('4th Year IS'!B22*('5th Year IS'!$B$36+1),0)</f>
        <v>1375</v>
      </c>
    </row>
    <row r="23" spans="1:2" ht="12.75">
      <c r="A23" s="101" t="str">
        <f>'4th Year IS'!A23:B23</f>
        <v>Util. &amp; Phone</v>
      </c>
      <c r="B23" s="356">
        <f>ROUND('4th Year IS'!B23*('5th Year IS'!$B$36+1),0)</f>
        <v>11017</v>
      </c>
    </row>
    <row r="24" spans="1:2" ht="12.75">
      <c r="A24" s="101" t="str">
        <f>'4th Year IS'!A24:B24</f>
        <v>Office Supplies</v>
      </c>
      <c r="B24" s="356">
        <f>ROUND('4th Year IS'!B24*('5th Year IS'!$B$36+1),0)</f>
        <v>2066</v>
      </c>
    </row>
    <row r="25" spans="1:2" ht="12.75">
      <c r="A25" s="101" t="str">
        <f>'4th Year IS'!A25:B25</f>
        <v>Other Taxes</v>
      </c>
      <c r="B25" s="356">
        <f>ROUND('4th Year IS'!B25*('5th Year IS'!$B$36+1),0)</f>
        <v>0</v>
      </c>
    </row>
    <row r="26" spans="1:2" ht="12.75">
      <c r="A26" s="101" t="str">
        <f>'4th Year IS'!A26:B26</f>
        <v>Marketing</v>
      </c>
      <c r="B26" s="357">
        <f>ROUND(B9*B38,0)</f>
        <v>1307</v>
      </c>
    </row>
    <row r="27" spans="1:2" ht="12.75">
      <c r="A27" s="101" t="s">
        <v>326</v>
      </c>
      <c r="B27" s="357">
        <f>ROUND(B10*B39,0)</f>
        <v>0</v>
      </c>
    </row>
    <row r="28" spans="1:2" ht="12.75">
      <c r="A28" s="112" t="str">
        <f>'4th Year IS'!A28:B28</f>
        <v>Total G&amp;A Exp.</v>
      </c>
      <c r="B28" s="357">
        <f>SUM(B14:B27)</f>
        <v>112482</v>
      </c>
    </row>
    <row r="29" spans="1:2" ht="12.75">
      <c r="A29" s="101"/>
      <c r="B29" s="356"/>
    </row>
    <row r="30" spans="1:2" ht="12.75">
      <c r="A30" s="115" t="str">
        <f>'4th Year IS'!A30:B30</f>
        <v>Net Income BT</v>
      </c>
      <c r="B30" s="357">
        <f>B11-B28</f>
        <v>57387.65000000002</v>
      </c>
    </row>
    <row r="31" spans="1:2" ht="12.75">
      <c r="A31" s="205" t="s">
        <v>195</v>
      </c>
      <c r="B31" s="358">
        <f>+B30*B40</f>
        <v>11477.530000000006</v>
      </c>
    </row>
    <row r="32" spans="1:2" ht="13.5" thickBot="1">
      <c r="A32" s="206" t="s">
        <v>196</v>
      </c>
      <c r="B32" s="359">
        <f>+B30-B31</f>
        <v>45910.12000000002</v>
      </c>
    </row>
    <row r="33" spans="1:5" ht="13.5" thickTop="1">
      <c r="A33" s="60" t="s">
        <v>93</v>
      </c>
      <c r="B33" s="33"/>
      <c r="C33" s="33"/>
      <c r="D33" s="33"/>
      <c r="E33" s="33"/>
    </row>
    <row r="34" spans="1:5" ht="12.75">
      <c r="A34" s="144" t="s">
        <v>114</v>
      </c>
      <c r="B34" s="33"/>
      <c r="C34" s="33" t="s">
        <v>93</v>
      </c>
      <c r="D34" s="33"/>
      <c r="E34" s="33"/>
    </row>
    <row r="35" spans="1:5" ht="12.75">
      <c r="A35" s="60" t="s">
        <v>73</v>
      </c>
      <c r="B35" s="178">
        <v>0.05</v>
      </c>
      <c r="C35" s="33" t="s">
        <v>36</v>
      </c>
      <c r="D35" s="33"/>
      <c r="E35" s="182">
        <v>0.0765</v>
      </c>
    </row>
    <row r="36" spans="1:5" ht="12.75">
      <c r="A36" s="60" t="s">
        <v>74</v>
      </c>
      <c r="B36" s="178">
        <v>0.03</v>
      </c>
      <c r="C36" s="33" t="s">
        <v>37</v>
      </c>
      <c r="D36" s="33"/>
      <c r="E36" s="182">
        <v>0.01</v>
      </c>
    </row>
    <row r="37" spans="1:5" ht="12.75">
      <c r="A37" s="60" t="s">
        <v>33</v>
      </c>
      <c r="B37" s="179">
        <v>0.35</v>
      </c>
      <c r="C37" s="33" t="s">
        <v>69</v>
      </c>
      <c r="D37" s="33"/>
      <c r="E37" s="182">
        <v>0.01</v>
      </c>
    </row>
    <row r="38" spans="1:5" ht="12.75">
      <c r="A38" s="60" t="s">
        <v>34</v>
      </c>
      <c r="B38" s="178">
        <v>0.005</v>
      </c>
      <c r="C38" s="33" t="s">
        <v>38</v>
      </c>
      <c r="D38" s="33"/>
      <c r="E38" s="182">
        <v>0.02</v>
      </c>
    </row>
    <row r="39" spans="1:5" ht="12.75">
      <c r="A39" s="61" t="s">
        <v>40</v>
      </c>
      <c r="B39" s="180">
        <v>0</v>
      </c>
      <c r="C39" s="33" t="s">
        <v>39</v>
      </c>
      <c r="D39" s="33"/>
      <c r="E39" s="182">
        <f>SUM(E35:E38)</f>
        <v>0.11649999999999999</v>
      </c>
    </row>
    <row r="40" spans="1:2" ht="12.75">
      <c r="A40" s="97" t="s">
        <v>195</v>
      </c>
      <c r="B40" s="204">
        <v>0.2</v>
      </c>
    </row>
    <row r="41" spans="1:2" ht="12.75">
      <c r="A41" s="97"/>
      <c r="B41" s="97"/>
    </row>
    <row r="42" spans="1:2" ht="12.75">
      <c r="A42" s="97"/>
      <c r="B42" s="97"/>
    </row>
    <row r="43" spans="1:2" ht="12.75">
      <c r="A43" s="97"/>
      <c r="B43" s="97"/>
    </row>
    <row r="44" spans="1:2" ht="12.75">
      <c r="A44" s="97"/>
      <c r="B44" s="97"/>
    </row>
    <row r="45" spans="1:2" ht="12.75">
      <c r="A45" s="97"/>
      <c r="B45" s="97"/>
    </row>
    <row r="46" spans="1:2" ht="12.75">
      <c r="A46" s="97"/>
      <c r="B46" s="97"/>
    </row>
    <row r="47" spans="1:2" ht="12.75">
      <c r="A47" s="97"/>
      <c r="B47" s="97"/>
    </row>
    <row r="48" spans="1:2" ht="12.75">
      <c r="A48" s="97"/>
      <c r="B48" s="97"/>
    </row>
    <row r="65" spans="1:2" ht="12.75">
      <c r="A65" t="s">
        <v>81</v>
      </c>
      <c r="B65">
        <v>60</v>
      </c>
    </row>
    <row r="67" spans="2:13" ht="12.75">
      <c r="B67">
        <v>49</v>
      </c>
      <c r="C67">
        <v>50</v>
      </c>
      <c r="D67">
        <v>51</v>
      </c>
      <c r="E67">
        <v>52</v>
      </c>
      <c r="F67">
        <v>53</v>
      </c>
      <c r="G67">
        <v>54</v>
      </c>
      <c r="H67">
        <v>55</v>
      </c>
      <c r="I67">
        <v>56</v>
      </c>
      <c r="J67">
        <v>57</v>
      </c>
      <c r="K67">
        <v>58</v>
      </c>
      <c r="L67">
        <v>59</v>
      </c>
      <c r="M67">
        <v>60</v>
      </c>
    </row>
    <row r="68" spans="1:14" ht="12.75">
      <c r="A68" t="s">
        <v>84</v>
      </c>
      <c r="B68">
        <f>IF($B$67&gt;12*'B Balance sheet'!$L$19,0,ROUND((-IPMT('B Balance sheet'!$L$18/12,B$67,'B Balance sheet'!$L$19*12,'B Balance sheet'!$H$17+'1st year Cash Flow'!$B$15+'2nd Year CF'!$B$15)),0))</f>
        <v>0</v>
      </c>
      <c r="N68">
        <f>SUM(B68:M68)</f>
        <v>0</v>
      </c>
    </row>
  </sheetData>
  <mergeCells count="4">
    <mergeCell ref="A1:B1"/>
    <mergeCell ref="A2:B2"/>
    <mergeCell ref="A3:B3"/>
    <mergeCell ref="A4:B4"/>
  </mergeCells>
  <printOptions/>
  <pageMargins left="1.44" right="0.75" top="1"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10" formula="1"/>
  </ignoredErrors>
</worksheet>
</file>

<file path=xl/worksheets/sheet19.xml><?xml version="1.0" encoding="utf-8"?>
<worksheet xmlns="http://schemas.openxmlformats.org/spreadsheetml/2006/main" xmlns:r="http://schemas.openxmlformats.org/officeDocument/2006/relationships">
  <sheetPr codeName="Sheet17"/>
  <dimension ref="A1:B66"/>
  <sheetViews>
    <sheetView workbookViewId="0" topLeftCell="A30">
      <selection activeCell="C49" sqref="C49"/>
    </sheetView>
  </sheetViews>
  <sheetFormatPr defaultColWidth="9.140625" defaultRowHeight="12.75"/>
  <cols>
    <col min="1" max="1" width="23.00390625" style="0" bestFit="1" customWidth="1"/>
    <col min="4" max="4" width="13.8515625" style="0" bestFit="1" customWidth="1"/>
  </cols>
  <sheetData>
    <row r="1" spans="1:2" ht="15.75">
      <c r="A1" s="421" t="str">
        <f>'4th Year CF'!A1:B1</f>
        <v>Speedy B's LLC - NEW</v>
      </c>
      <c r="B1" s="423"/>
    </row>
    <row r="2" spans="1:2" ht="15.75">
      <c r="A2" s="444" t="str">
        <f>'4th Year CF'!A2:B2</f>
        <v>Cash Flow Statement</v>
      </c>
      <c r="B2" s="446"/>
    </row>
    <row r="3" spans="1:2" ht="15.75">
      <c r="A3" s="444" t="str">
        <f>'4th Year CF'!A3:B3</f>
        <v>For Year Ending</v>
      </c>
      <c r="B3" s="446"/>
    </row>
    <row r="4" spans="1:2" ht="15.75">
      <c r="A4" s="427">
        <f>'5th Year IS'!A4:B4</f>
        <v>40786</v>
      </c>
      <c r="B4" s="429"/>
    </row>
    <row r="5" spans="1:2" ht="12.75">
      <c r="A5" s="100"/>
      <c r="B5" s="111"/>
    </row>
    <row r="6" spans="1:2" ht="12.75">
      <c r="A6" s="101"/>
      <c r="B6" s="103"/>
    </row>
    <row r="7" spans="1:2" ht="12.75">
      <c r="A7" s="112" t="str">
        <f>'4th Year CF'!A7:B7</f>
        <v>Cash Receipts</v>
      </c>
      <c r="B7" s="70"/>
    </row>
    <row r="8" spans="1:2" ht="12.75">
      <c r="A8" s="101" t="str">
        <f>'4th Year CF'!A8:B8</f>
        <v>  Sales</v>
      </c>
      <c r="B8" s="70">
        <f>'5th Year IS'!B9</f>
        <v>261337.65000000002</v>
      </c>
    </row>
    <row r="9" spans="1:2" ht="12.75">
      <c r="A9" s="101" t="str">
        <f>'4th Year CF'!A9:B9</f>
        <v>  A/R Sales</v>
      </c>
      <c r="B9" s="70">
        <f>+B44*B8</f>
        <v>0</v>
      </c>
    </row>
    <row r="10" spans="1:2" ht="12.75">
      <c r="A10" s="101" t="str">
        <f>'4th Year CF'!A10:B10</f>
        <v>  A/R Collections</v>
      </c>
      <c r="B10" s="125">
        <f>+B9*(1-$B$45/360)+'4th Year BS'!D10</f>
        <v>0</v>
      </c>
    </row>
    <row r="11" spans="1:2" ht="12.75">
      <c r="A11" s="112" t="str">
        <f>'4th Year CF'!A11:B11</f>
        <v>Total Cash from Sales</v>
      </c>
      <c r="B11" s="70">
        <f>B8+B10-B9</f>
        <v>261337.65000000002</v>
      </c>
    </row>
    <row r="12" spans="1:2" ht="12.75">
      <c r="A12" s="101"/>
      <c r="B12" s="70"/>
    </row>
    <row r="13" spans="1:2" ht="12.75">
      <c r="A13" s="112" t="str">
        <f>'4th Year CF'!A13:B13</f>
        <v>Income from Financing</v>
      </c>
      <c r="B13" s="70"/>
    </row>
    <row r="14" spans="1:2" ht="12.75">
      <c r="A14" s="101" t="str">
        <f>'4th Year CF'!A14:B14</f>
        <v>  Interest Income</v>
      </c>
      <c r="B14" s="185">
        <v>0</v>
      </c>
    </row>
    <row r="15" spans="1:2" ht="12.75">
      <c r="A15" s="101" t="str">
        <f>'4th Year CF'!A15:B15</f>
        <v>  Loan Proceeds</v>
      </c>
      <c r="B15" s="185">
        <v>0</v>
      </c>
    </row>
    <row r="16" spans="1:2" ht="12.75">
      <c r="A16" s="101" t="str">
        <f>'4th Year CF'!A16:B16</f>
        <v>  Other Cash Receipts</v>
      </c>
      <c r="B16" s="186">
        <v>0</v>
      </c>
    </row>
    <row r="17" spans="1:2" ht="12.75">
      <c r="A17" s="112" t="str">
        <f>'4th Year CF'!A17:B17</f>
        <v>Total Cash Receipts</v>
      </c>
      <c r="B17" s="70">
        <f>SUM(B13:B16)+B11</f>
        <v>261337.65000000002</v>
      </c>
    </row>
    <row r="18" spans="1:2" ht="12.75">
      <c r="A18" s="101"/>
      <c r="B18" s="70"/>
    </row>
    <row r="19" spans="1:2" ht="12.75">
      <c r="A19" s="101" t="str">
        <f>'4th Year CF'!A19:B19</f>
        <v>Cash Disbursements</v>
      </c>
      <c r="B19" s="70"/>
    </row>
    <row r="20" spans="1:2" ht="12.75">
      <c r="A20" s="101" t="str">
        <f>'4th Year CF'!A20:B20</f>
        <v>Expenses</v>
      </c>
      <c r="B20" s="70"/>
    </row>
    <row r="21" spans="1:2" ht="12.75">
      <c r="A21" s="101" t="str">
        <f>'4th Year CF'!A21:B21</f>
        <v> Cost of Goods</v>
      </c>
      <c r="B21" s="70">
        <f>'5th Year IS'!B10</f>
        <v>91468</v>
      </c>
    </row>
    <row r="22" spans="1:2" ht="12.75">
      <c r="A22" s="101" t="s">
        <v>310</v>
      </c>
      <c r="B22" s="70">
        <f>+B21*B46</f>
        <v>68601</v>
      </c>
    </row>
    <row r="23" spans="1:2" ht="12.75">
      <c r="A23" s="101" t="s">
        <v>311</v>
      </c>
      <c r="B23" s="70">
        <f>+B22*(1-B47/360)+'4th Year BS'!I9</f>
        <v>68537.48958333333</v>
      </c>
    </row>
    <row r="24" spans="1:2" ht="12.75">
      <c r="A24" s="112" t="s">
        <v>318</v>
      </c>
      <c r="B24" s="70">
        <f>+B21+B23-B22</f>
        <v>91404.48958333331</v>
      </c>
    </row>
    <row r="25" spans="1:2" ht="12.75">
      <c r="A25" s="101" t="str">
        <f>'4th Year CF'!A25:B25</f>
        <v>Operating expenses</v>
      </c>
      <c r="B25" s="70">
        <f>+'5th Year IS'!B15+'5th Year IS'!B17+'5th Year IS'!B18+'5th Year IS'!B20+'5th Year IS'!B22+'5th Year IS'!B23+'5th Year IS'!B24+'5th Year IS'!B25+'5th Year IS'!B26+'5th Year IS'!B27</f>
        <v>31566</v>
      </c>
    </row>
    <row r="26" spans="1:2" ht="12.75">
      <c r="A26" s="101" t="str">
        <f>'4th Year CF'!A26:B26</f>
        <v>Salary expenses</v>
      </c>
      <c r="B26" s="70">
        <f>+'5th Year IS'!B14+'5th Year IS'!B16</f>
        <v>67346</v>
      </c>
    </row>
    <row r="27" spans="1:2" ht="12.75">
      <c r="A27" s="101" t="s">
        <v>195</v>
      </c>
      <c r="B27" s="70">
        <f>+'5th Year IS'!B31</f>
        <v>11477.530000000006</v>
      </c>
    </row>
    <row r="28" spans="1:2" ht="12.75">
      <c r="A28" s="101" t="str">
        <f>'4th Year CF'!A28:B28</f>
        <v>Loan payment, principal</v>
      </c>
      <c r="B28" s="360">
        <f>SUM('Pmt Schedule'!E58:E69)</f>
        <v>11006</v>
      </c>
    </row>
    <row r="29" spans="1:2" ht="12.75">
      <c r="A29" s="101" t="str">
        <f>'4th Year CF'!A29:B29</f>
        <v>Loan payment, interest</v>
      </c>
      <c r="B29" s="70">
        <f>SUM('Pmt Schedule'!D58:D69)</f>
        <v>2470</v>
      </c>
    </row>
    <row r="30" spans="1:2" ht="12.75">
      <c r="A30" s="101" t="str">
        <f>'4th Year CF'!A30:B30</f>
        <v>Other Capital Expenses</v>
      </c>
      <c r="B30" s="185">
        <v>0</v>
      </c>
    </row>
    <row r="31" spans="1:2" ht="12.75">
      <c r="A31" s="101" t="s">
        <v>304</v>
      </c>
      <c r="B31" s="185">
        <v>0</v>
      </c>
    </row>
    <row r="32" spans="1:2" ht="12.75">
      <c r="A32" s="101" t="str">
        <f>'4th Year CF'!A32:B32</f>
        <v>Inventory Inc(Dec)rease</v>
      </c>
      <c r="B32" s="185">
        <v>0</v>
      </c>
    </row>
    <row r="33" spans="1:2" ht="12.75">
      <c r="A33" s="101" t="str">
        <f>'4th Year CF'!A33:B33</f>
        <v>Owners Draw</v>
      </c>
      <c r="B33" s="185">
        <v>30000</v>
      </c>
    </row>
    <row r="34" spans="1:2" ht="12.75">
      <c r="A34" s="112" t="str">
        <f>'4th Year CF'!A34:B34</f>
        <v>Total cash disbursements</v>
      </c>
      <c r="B34" s="70">
        <f>SUM(B24:B33)</f>
        <v>245270.0195833333</v>
      </c>
    </row>
    <row r="35" spans="1:2" ht="13.5" thickBot="1">
      <c r="A35" s="112" t="str">
        <f>'4th Year CF'!A35:B35</f>
        <v>Net Cash Flow</v>
      </c>
      <c r="B35" s="351">
        <f>B17-B34</f>
        <v>16067.63041666671</v>
      </c>
    </row>
    <row r="36" spans="1:2" ht="13.5" thickTop="1">
      <c r="A36" s="101"/>
      <c r="B36" s="70"/>
    </row>
    <row r="37" spans="1:2" ht="12.75">
      <c r="A37" s="101" t="str">
        <f>'4th Year CF'!A37:B37</f>
        <v>Opening Cash Balance</v>
      </c>
      <c r="B37" s="70">
        <f>ROUND('4th Year CF'!B40,0)</f>
        <v>86708</v>
      </c>
    </row>
    <row r="38" spans="1:2" ht="12.75">
      <c r="A38" s="101" t="str">
        <f>'4th Year CF'!A38:B38</f>
        <v>Cash Receipts</v>
      </c>
      <c r="B38" s="70">
        <f>B17</f>
        <v>261337.65000000002</v>
      </c>
    </row>
    <row r="39" spans="1:2" ht="12.75">
      <c r="A39" s="101" t="str">
        <f>'4th Year CF'!A39:B39</f>
        <v>Cash Disbursements</v>
      </c>
      <c r="B39" s="70">
        <f>B34</f>
        <v>245270.0195833333</v>
      </c>
    </row>
    <row r="40" spans="1:2" ht="13.5" thickBot="1">
      <c r="A40" s="112" t="str">
        <f>'4th Year CF'!A40:B40</f>
        <v>ENDING CASH BALANCE</v>
      </c>
      <c r="B40" s="351">
        <f>B37+B38-B39</f>
        <v>102775.63041666671</v>
      </c>
    </row>
    <row r="41" spans="1:2" ht="13.5" thickTop="1">
      <c r="A41" s="117"/>
      <c r="B41" s="123"/>
    </row>
    <row r="42" spans="1:2" ht="12.75">
      <c r="A42" s="97"/>
      <c r="B42" s="97"/>
    </row>
    <row r="43" spans="1:2" ht="12.75">
      <c r="A43" s="138" t="s">
        <v>192</v>
      </c>
      <c r="B43" s="97"/>
    </row>
    <row r="44" spans="1:2" ht="12.75">
      <c r="A44" t="s">
        <v>75</v>
      </c>
      <c r="B44" s="183">
        <v>0</v>
      </c>
    </row>
    <row r="45" spans="1:2" ht="12.75">
      <c r="A45" t="s">
        <v>267</v>
      </c>
      <c r="B45" s="211">
        <v>0</v>
      </c>
    </row>
    <row r="46" spans="1:2" ht="12.75">
      <c r="A46" s="97" t="s">
        <v>313</v>
      </c>
      <c r="B46" s="303">
        <v>0.75</v>
      </c>
    </row>
    <row r="47" spans="1:2" ht="12.75">
      <c r="A47" s="97" t="s">
        <v>319</v>
      </c>
      <c r="B47" s="306">
        <v>7</v>
      </c>
    </row>
    <row r="48" spans="1:2" ht="12.75">
      <c r="A48" s="97"/>
      <c r="B48" s="97"/>
    </row>
    <row r="49" spans="1:2" ht="12.75">
      <c r="A49" s="97"/>
      <c r="B49" s="97"/>
    </row>
    <row r="50" spans="1:2" ht="12.75">
      <c r="A50" s="97"/>
      <c r="B50" s="97"/>
    </row>
    <row r="51" spans="1:2" ht="12.75">
      <c r="A51" s="97"/>
      <c r="B51" s="97"/>
    </row>
    <row r="52" spans="1:2" ht="12.75">
      <c r="A52" s="97"/>
      <c r="B52" s="97"/>
    </row>
    <row r="53" spans="1:2" ht="12.75">
      <c r="A53" s="97"/>
      <c r="B53" s="97"/>
    </row>
    <row r="54" spans="1:2" ht="12.75">
      <c r="A54" s="97"/>
      <c r="B54" s="97"/>
    </row>
    <row r="55" spans="1:2" ht="12.75">
      <c r="A55" s="97"/>
      <c r="B55" s="97"/>
    </row>
    <row r="56" spans="1:2" ht="12.75">
      <c r="A56" s="97"/>
      <c r="B56" s="97"/>
    </row>
    <row r="57" spans="1:2" ht="12.75">
      <c r="A57" s="97"/>
      <c r="B57" s="97"/>
    </row>
    <row r="58" spans="1:2" ht="12.75">
      <c r="A58" s="97"/>
      <c r="B58" s="97"/>
    </row>
    <row r="59" spans="1:2" ht="12.75">
      <c r="A59" s="97"/>
      <c r="B59" s="97"/>
    </row>
    <row r="60" spans="1:2" ht="12.75">
      <c r="A60" s="97"/>
      <c r="B60" s="97"/>
    </row>
    <row r="61" spans="1:2" ht="12.75">
      <c r="A61" s="97"/>
      <c r="B61" s="97"/>
    </row>
    <row r="62" spans="1:2" ht="12.75">
      <c r="A62" s="97"/>
      <c r="B62" s="97"/>
    </row>
    <row r="63" spans="1:2" ht="12.75">
      <c r="A63" s="97"/>
      <c r="B63" s="97"/>
    </row>
    <row r="64" spans="1:2" ht="12.75">
      <c r="A64" s="97"/>
      <c r="B64" s="97"/>
    </row>
    <row r="65" spans="1:2" ht="12.75">
      <c r="A65" s="97"/>
      <c r="B65" s="97"/>
    </row>
    <row r="66" spans="1:2" ht="12.75">
      <c r="A66" s="97"/>
      <c r="B66" s="97"/>
    </row>
  </sheetData>
  <mergeCells count="4">
    <mergeCell ref="A1:B1"/>
    <mergeCell ref="A2:B2"/>
    <mergeCell ref="A3:B3"/>
    <mergeCell ref="A4:B4"/>
  </mergeCells>
  <printOptions/>
  <pageMargins left="1.23" right="0.75" top="1" bottom="1" header="0.5" footer="0.5"/>
  <pageSetup horizontalDpi="600" verticalDpi="600" orientation="portrait" r:id="rId1"/>
  <headerFooter alignWithMargins="0">
    <oddFooter>&amp;C"All fiancial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xml><?xml version="1.0" encoding="utf-8"?>
<worksheet xmlns="http://schemas.openxmlformats.org/spreadsheetml/2006/main" xmlns:r="http://schemas.openxmlformats.org/officeDocument/2006/relationships">
  <sheetPr codeName="Sheet1"/>
  <dimension ref="A1:AG29"/>
  <sheetViews>
    <sheetView workbookViewId="0" topLeftCell="A10">
      <selection activeCell="A2" sqref="A2:I2"/>
    </sheetView>
  </sheetViews>
  <sheetFormatPr defaultColWidth="9.140625" defaultRowHeight="12.75"/>
  <cols>
    <col min="1" max="1" width="10.57421875" style="10" customWidth="1"/>
    <col min="2" max="2" width="24.140625" style="10" customWidth="1"/>
    <col min="3" max="3" width="9.7109375" style="10" customWidth="1"/>
    <col min="4" max="4" width="2.140625" style="10" customWidth="1"/>
    <col min="5" max="6" width="9.140625" style="10" customWidth="1"/>
    <col min="7" max="7" width="8.140625" style="10" customWidth="1"/>
    <col min="8" max="8" width="10.140625" style="10" customWidth="1"/>
    <col min="9" max="9" width="5.421875" style="10" customWidth="1"/>
    <col min="10" max="10" width="10.7109375" style="10" customWidth="1"/>
    <col min="11" max="11" width="36.140625" style="10" customWidth="1"/>
    <col min="12" max="12" width="6.7109375" style="10" customWidth="1"/>
    <col min="13" max="13" width="11.421875" style="10" customWidth="1"/>
    <col min="14" max="14" width="9.7109375" style="10" customWidth="1"/>
    <col min="15" max="26" width="9.140625" style="10" customWidth="1"/>
    <col min="27" max="31" width="9.7109375" style="10" bestFit="1" customWidth="1"/>
    <col min="32" max="16384" width="9.140625" style="10" customWidth="1"/>
  </cols>
  <sheetData>
    <row r="1" spans="1:9" ht="15.75">
      <c r="A1" s="418" t="s">
        <v>334</v>
      </c>
      <c r="B1" s="418"/>
      <c r="C1" s="418"/>
      <c r="D1" s="418"/>
      <c r="E1" s="418"/>
      <c r="F1" s="418"/>
      <c r="G1" s="418"/>
      <c r="H1" s="418"/>
      <c r="I1" s="418"/>
    </row>
    <row r="2" spans="1:9" ht="15.75">
      <c r="A2" s="418" t="s">
        <v>334</v>
      </c>
      <c r="B2" s="418"/>
      <c r="C2" s="418"/>
      <c r="D2" s="418"/>
      <c r="E2" s="418"/>
      <c r="F2" s="418"/>
      <c r="G2" s="418"/>
      <c r="H2" s="418"/>
      <c r="I2" s="418"/>
    </row>
    <row r="3" spans="1:9" ht="15.75">
      <c r="A3" s="418" t="s">
        <v>146</v>
      </c>
      <c r="B3" s="418"/>
      <c r="C3" s="418"/>
      <c r="D3" s="418"/>
      <c r="E3" s="418"/>
      <c r="F3" s="418"/>
      <c r="G3" s="418"/>
      <c r="H3" s="418"/>
      <c r="I3" s="418"/>
    </row>
    <row r="4" spans="1:9" ht="15.75">
      <c r="A4" s="419">
        <v>38961</v>
      </c>
      <c r="B4" s="419"/>
      <c r="C4" s="419"/>
      <c r="D4" s="419"/>
      <c r="E4" s="419"/>
      <c r="F4" s="419"/>
      <c r="G4" s="419"/>
      <c r="H4" s="419"/>
      <c r="I4" s="419"/>
    </row>
    <row r="5" spans="1:12" ht="12.75">
      <c r="A5" s="136"/>
      <c r="B5" s="2"/>
      <c r="C5" s="2"/>
      <c r="D5" s="2"/>
      <c r="E5" s="2"/>
      <c r="F5" s="2"/>
      <c r="G5" s="2"/>
      <c r="H5" s="2"/>
      <c r="I5" s="11"/>
      <c r="J5"/>
      <c r="K5"/>
      <c r="L5"/>
    </row>
    <row r="6" spans="1:12" ht="12.75">
      <c r="A6" s="3"/>
      <c r="B6" s="4"/>
      <c r="C6" s="4"/>
      <c r="D6" s="4"/>
      <c r="E6" s="4"/>
      <c r="F6" s="4"/>
      <c r="G6" s="4"/>
      <c r="H6" s="4"/>
      <c r="I6" s="50"/>
      <c r="J6"/>
      <c r="K6"/>
      <c r="L6"/>
    </row>
    <row r="7" spans="1:12" ht="12.75">
      <c r="A7" s="5" t="s">
        <v>1</v>
      </c>
      <c r="B7" s="6"/>
      <c r="C7" s="6"/>
      <c r="D7" s="6"/>
      <c r="E7" s="6" t="s">
        <v>2</v>
      </c>
      <c r="F7" s="4"/>
      <c r="G7" s="4"/>
      <c r="H7" s="4"/>
      <c r="I7" s="50"/>
      <c r="J7"/>
      <c r="K7"/>
      <c r="L7"/>
    </row>
    <row r="8" spans="1:12" ht="12.75">
      <c r="A8" s="3" t="s">
        <v>3</v>
      </c>
      <c r="B8" s="4"/>
      <c r="C8" s="4" t="s">
        <v>93</v>
      </c>
      <c r="D8" s="4"/>
      <c r="E8" s="4" t="s">
        <v>4</v>
      </c>
      <c r="F8" s="4"/>
      <c r="G8" s="4"/>
      <c r="H8" s="13" t="s">
        <v>93</v>
      </c>
      <c r="I8" s="50"/>
      <c r="J8"/>
      <c r="K8"/>
      <c r="L8"/>
    </row>
    <row r="9" spans="1:15" ht="12.75">
      <c r="A9" s="3"/>
      <c r="B9" s="4" t="s">
        <v>5</v>
      </c>
      <c r="C9" s="173">
        <v>20000</v>
      </c>
      <c r="D9" s="13"/>
      <c r="E9" s="13"/>
      <c r="F9" s="13" t="s">
        <v>116</v>
      </c>
      <c r="G9" s="13"/>
      <c r="H9" s="13">
        <f>+'Pmt Schedule'!E10+'Pmt Schedule'!E11+'Pmt Schedule'!E12+'Pmt Schedule'!E13+'Pmt Schedule'!E14+'Pmt Schedule'!E15+'Pmt Schedule'!E16+'Pmt Schedule'!E17+'Pmt Schedule'!E18+'Pmt Schedule'!E19+'Pmt Schedule'!E20+'Pmt Schedule'!E21</f>
        <v>8000</v>
      </c>
      <c r="I9" s="50"/>
      <c r="J9"/>
      <c r="K9"/>
      <c r="L9"/>
      <c r="O9" s="118"/>
    </row>
    <row r="10" spans="1:15" ht="12.75">
      <c r="A10" s="3"/>
      <c r="B10" s="4" t="s">
        <v>6</v>
      </c>
      <c r="C10" s="173">
        <v>4500</v>
      </c>
      <c r="D10" s="13"/>
      <c r="E10" s="13"/>
      <c r="F10" s="13" t="s">
        <v>7</v>
      </c>
      <c r="G10" s="13"/>
      <c r="H10" s="173">
        <v>0</v>
      </c>
      <c r="I10" s="50"/>
      <c r="J10"/>
      <c r="K10"/>
      <c r="L10"/>
      <c r="O10" s="118"/>
    </row>
    <row r="11" spans="1:12" ht="12.75">
      <c r="A11" s="3"/>
      <c r="B11" s="4" t="s">
        <v>8</v>
      </c>
      <c r="C11" s="173">
        <v>0</v>
      </c>
      <c r="D11" s="13"/>
      <c r="E11" s="13"/>
      <c r="F11" s="13" t="s">
        <v>9</v>
      </c>
      <c r="G11" s="13"/>
      <c r="H11" s="173">
        <v>0</v>
      </c>
      <c r="I11" s="50"/>
      <c r="J11"/>
      <c r="K11"/>
      <c r="L11"/>
    </row>
    <row r="12" spans="1:13" ht="12.75">
      <c r="A12" s="3"/>
      <c r="B12" s="4" t="s">
        <v>10</v>
      </c>
      <c r="C12" s="173">
        <v>0</v>
      </c>
      <c r="D12" s="13"/>
      <c r="E12" s="13"/>
      <c r="F12" s="13" t="s">
        <v>11</v>
      </c>
      <c r="G12" s="13"/>
      <c r="H12" s="173">
        <v>0</v>
      </c>
      <c r="I12" s="50"/>
      <c r="J12"/>
      <c r="K12"/>
      <c r="L12"/>
      <c r="M12" s="51"/>
    </row>
    <row r="13" spans="1:12" ht="12.75">
      <c r="A13" s="3"/>
      <c r="B13" s="4" t="s">
        <v>12</v>
      </c>
      <c r="C13" s="174">
        <v>0</v>
      </c>
      <c r="D13" s="13"/>
      <c r="E13" s="13"/>
      <c r="F13" s="13" t="s">
        <v>13</v>
      </c>
      <c r="G13" s="13"/>
      <c r="H13" s="174">
        <v>0</v>
      </c>
      <c r="I13" s="50"/>
      <c r="J13"/>
      <c r="K13"/>
      <c r="L13"/>
    </row>
    <row r="14" spans="1:33" ht="12.75">
      <c r="A14" s="3" t="s">
        <v>14</v>
      </c>
      <c r="B14" s="4"/>
      <c r="C14" s="13">
        <f>SUM(C9:C13)</f>
        <v>24500</v>
      </c>
      <c r="D14" s="13"/>
      <c r="E14" s="13" t="s">
        <v>15</v>
      </c>
      <c r="F14" s="13"/>
      <c r="G14" s="13"/>
      <c r="H14" s="13">
        <f>SUM(H9:H13)</f>
        <v>8000</v>
      </c>
      <c r="I14" s="50"/>
      <c r="J14"/>
      <c r="K14"/>
      <c r="L14"/>
      <c r="O14" s="118"/>
      <c r="P14" s="118"/>
      <c r="Q14" s="118"/>
      <c r="R14" s="118"/>
      <c r="S14" s="118"/>
      <c r="T14" s="118"/>
      <c r="U14" s="118"/>
      <c r="V14" s="118"/>
      <c r="W14" s="118"/>
      <c r="X14" s="118"/>
      <c r="Y14" s="118"/>
      <c r="Z14" s="118"/>
      <c r="AB14" s="118"/>
      <c r="AC14" s="118"/>
      <c r="AD14" s="118"/>
      <c r="AE14" s="118"/>
      <c r="AG14" s="118"/>
    </row>
    <row r="15" spans="1:33" ht="12.75">
      <c r="A15" s="3"/>
      <c r="B15" s="4"/>
      <c r="C15" s="13"/>
      <c r="D15" s="13"/>
      <c r="E15" s="13"/>
      <c r="F15" s="13"/>
      <c r="G15" s="13"/>
      <c r="H15" s="13"/>
      <c r="I15" s="50"/>
      <c r="J15"/>
      <c r="K15"/>
      <c r="L15"/>
      <c r="O15" s="118"/>
      <c r="P15" s="118"/>
      <c r="Q15" s="118"/>
      <c r="R15" s="118"/>
      <c r="S15" s="118"/>
      <c r="T15" s="118"/>
      <c r="U15" s="118"/>
      <c r="V15" s="118"/>
      <c r="W15" s="118"/>
      <c r="X15" s="118"/>
      <c r="Y15" s="118"/>
      <c r="Z15" s="118"/>
      <c r="AB15" s="118"/>
      <c r="AC15" s="118"/>
      <c r="AD15" s="118"/>
      <c r="AE15" s="118"/>
      <c r="AG15" s="118"/>
    </row>
    <row r="16" spans="1:33" ht="12.75">
      <c r="A16" s="3" t="s">
        <v>16</v>
      </c>
      <c r="B16" s="4"/>
      <c r="C16" s="13" t="s">
        <v>93</v>
      </c>
      <c r="D16" s="13"/>
      <c r="E16" s="13" t="s">
        <v>17</v>
      </c>
      <c r="F16" s="13"/>
      <c r="G16" s="13"/>
      <c r="H16" s="13" t="s">
        <v>93</v>
      </c>
      <c r="I16" s="50"/>
      <c r="J16"/>
      <c r="K16"/>
      <c r="L16"/>
      <c r="O16" s="118"/>
      <c r="P16" s="118"/>
      <c r="Q16" s="118"/>
      <c r="R16" s="118"/>
      <c r="S16" s="118"/>
      <c r="T16" s="118"/>
      <c r="U16" s="118"/>
      <c r="V16" s="118"/>
      <c r="W16" s="118"/>
      <c r="X16" s="118"/>
      <c r="Y16" s="118"/>
      <c r="Z16" s="118"/>
      <c r="AB16" s="118"/>
      <c r="AC16" s="118"/>
      <c r="AD16" s="118"/>
      <c r="AE16" s="118"/>
      <c r="AG16" s="118"/>
    </row>
    <row r="17" spans="1:33" ht="12.75">
      <c r="A17" s="3"/>
      <c r="B17" s="4" t="s">
        <v>147</v>
      </c>
      <c r="C17" s="173">
        <v>0</v>
      </c>
      <c r="D17" s="13"/>
      <c r="E17" s="13"/>
      <c r="F17" s="13" t="s">
        <v>117</v>
      </c>
      <c r="G17" s="13"/>
      <c r="H17" s="13">
        <f>+'Loan Data'!B5-'B Balance sheet'!H9</f>
        <v>64000</v>
      </c>
      <c r="I17" s="50"/>
      <c r="J17"/>
      <c r="K17"/>
      <c r="L17"/>
      <c r="O17" s="118"/>
      <c r="P17" s="118"/>
      <c r="Q17" s="118"/>
      <c r="R17" s="118"/>
      <c r="S17" s="118"/>
      <c r="T17" s="118"/>
      <c r="U17" s="118"/>
      <c r="V17" s="118"/>
      <c r="W17" s="118"/>
      <c r="X17" s="118"/>
      <c r="Y17" s="118"/>
      <c r="Z17" s="118"/>
      <c r="AB17" s="118"/>
      <c r="AC17" s="118"/>
      <c r="AD17" s="118"/>
      <c r="AE17" s="118"/>
      <c r="AG17" s="118"/>
    </row>
    <row r="18" spans="1:33" ht="12.75">
      <c r="A18" s="3"/>
      <c r="B18" s="4" t="s">
        <v>148</v>
      </c>
      <c r="C18" s="173">
        <v>0</v>
      </c>
      <c r="D18" s="13"/>
      <c r="E18" s="13"/>
      <c r="F18" s="13" t="s">
        <v>13</v>
      </c>
      <c r="G18" s="13"/>
      <c r="H18" s="173">
        <v>0</v>
      </c>
      <c r="I18" s="50"/>
      <c r="J18"/>
      <c r="K18"/>
      <c r="L18"/>
      <c r="O18" s="118"/>
      <c r="P18" s="118"/>
      <c r="Q18" s="118"/>
      <c r="R18" s="118"/>
      <c r="S18" s="118"/>
      <c r="T18" s="118"/>
      <c r="U18" s="118"/>
      <c r="V18" s="118"/>
      <c r="W18" s="118"/>
      <c r="X18" s="118"/>
      <c r="Y18" s="118"/>
      <c r="Z18" s="118"/>
      <c r="AB18" s="118"/>
      <c r="AC18" s="118"/>
      <c r="AD18" s="118"/>
      <c r="AE18" s="118"/>
      <c r="AG18" s="118"/>
    </row>
    <row r="19" spans="1:31" ht="12.75">
      <c r="A19" s="3"/>
      <c r="B19" s="4" t="s">
        <v>18</v>
      </c>
      <c r="C19" s="173">
        <v>30000</v>
      </c>
      <c r="D19" s="13"/>
      <c r="E19" s="13" t="s">
        <v>19</v>
      </c>
      <c r="F19" s="13"/>
      <c r="G19" s="13"/>
      <c r="H19" s="154">
        <f>SUM(H17:H18)</f>
        <v>64000</v>
      </c>
      <c r="I19" s="50"/>
      <c r="J19"/>
      <c r="K19"/>
      <c r="L19"/>
      <c r="AB19" s="118"/>
      <c r="AC19" s="118"/>
      <c r="AD19" s="118"/>
      <c r="AE19" s="118"/>
    </row>
    <row r="20" spans="1:33" ht="12.75">
      <c r="A20" s="3"/>
      <c r="B20" s="4" t="s">
        <v>97</v>
      </c>
      <c r="C20" s="173">
        <v>25500</v>
      </c>
      <c r="D20" s="13"/>
      <c r="E20" s="337" t="s">
        <v>20</v>
      </c>
      <c r="F20" s="13"/>
      <c r="G20" s="13"/>
      <c r="H20" s="13">
        <f>H14+H19</f>
        <v>72000</v>
      </c>
      <c r="I20" s="50"/>
      <c r="J20"/>
      <c r="K20"/>
      <c r="L20"/>
      <c r="O20" s="118"/>
      <c r="P20" s="118"/>
      <c r="Q20" s="118"/>
      <c r="R20" s="118"/>
      <c r="S20" s="118"/>
      <c r="T20" s="118"/>
      <c r="U20" s="118"/>
      <c r="V20" s="118"/>
      <c r="W20" s="118"/>
      <c r="X20" s="118"/>
      <c r="Y20" s="118"/>
      <c r="Z20" s="118"/>
      <c r="AB20" s="118"/>
      <c r="AC20" s="118"/>
      <c r="AD20" s="118"/>
      <c r="AE20" s="118"/>
      <c r="AG20" s="118"/>
    </row>
    <row r="21" spans="1:33" ht="12.75">
      <c r="A21" s="3"/>
      <c r="B21" s="4" t="s">
        <v>190</v>
      </c>
      <c r="C21" s="173">
        <v>0</v>
      </c>
      <c r="D21" s="13"/>
      <c r="E21" s="55"/>
      <c r="F21" s="55" t="s">
        <v>93</v>
      </c>
      <c r="G21" s="55"/>
      <c r="H21" s="55"/>
      <c r="I21" s="50"/>
      <c r="J21"/>
      <c r="K21"/>
      <c r="L21"/>
      <c r="O21" s="118"/>
      <c r="P21" s="118"/>
      <c r="Q21" s="118"/>
      <c r="R21" s="118"/>
      <c r="S21" s="118"/>
      <c r="T21" s="118"/>
      <c r="U21" s="118"/>
      <c r="V21" s="118"/>
      <c r="W21" s="118"/>
      <c r="X21" s="118"/>
      <c r="Y21" s="118"/>
      <c r="Z21" s="118"/>
      <c r="AB21" s="118"/>
      <c r="AC21" s="118"/>
      <c r="AD21" s="118"/>
      <c r="AE21" s="118"/>
      <c r="AG21" s="118"/>
    </row>
    <row r="22" spans="1:33" ht="12.75">
      <c r="A22" s="3"/>
      <c r="B22" s="4"/>
      <c r="C22" s="154"/>
      <c r="D22" s="13"/>
      <c r="E22" s="338" t="s">
        <v>83</v>
      </c>
      <c r="F22" s="13"/>
      <c r="G22" s="13" t="s">
        <v>308</v>
      </c>
      <c r="H22" s="173">
        <v>0</v>
      </c>
      <c r="I22" s="50"/>
      <c r="J22"/>
      <c r="K22"/>
      <c r="L22"/>
      <c r="O22" s="118"/>
      <c r="P22" s="118"/>
      <c r="Q22" s="118"/>
      <c r="R22" s="118"/>
      <c r="S22" s="118"/>
      <c r="T22" s="118"/>
      <c r="U22" s="118"/>
      <c r="V22" s="118"/>
      <c r="W22" s="118"/>
      <c r="X22" s="118"/>
      <c r="Y22" s="118"/>
      <c r="Z22" s="118"/>
      <c r="AB22" s="118"/>
      <c r="AC22" s="118"/>
      <c r="AD22" s="118"/>
      <c r="AE22" s="118"/>
      <c r="AG22" s="118"/>
    </row>
    <row r="23" spans="1:33" ht="12.75">
      <c r="A23" s="3" t="s">
        <v>21</v>
      </c>
      <c r="B23" s="4"/>
      <c r="C23" s="13">
        <f>SUM(C17:C20)-SUM(C21:C22)</f>
        <v>55500</v>
      </c>
      <c r="D23" s="13"/>
      <c r="E23" s="13"/>
      <c r="F23" s="339"/>
      <c r="G23" s="13" t="s">
        <v>94</v>
      </c>
      <c r="H23" s="154">
        <f>C25-H20</f>
        <v>8000</v>
      </c>
      <c r="I23" s="50"/>
      <c r="J23"/>
      <c r="K23"/>
      <c r="L23"/>
      <c r="O23" s="118"/>
      <c r="P23" s="118"/>
      <c r="Q23" s="118"/>
      <c r="R23" s="118"/>
      <c r="S23" s="118"/>
      <c r="T23" s="118"/>
      <c r="U23" s="118"/>
      <c r="V23" s="118"/>
      <c r="W23" s="118"/>
      <c r="X23" s="118"/>
      <c r="Y23" s="118"/>
      <c r="Z23" s="118"/>
      <c r="AB23" s="118"/>
      <c r="AC23" s="118"/>
      <c r="AD23" s="118"/>
      <c r="AE23" s="118"/>
      <c r="AG23" s="118"/>
    </row>
    <row r="24" spans="1:33" ht="12.75">
      <c r="A24" s="3"/>
      <c r="B24" s="4"/>
      <c r="C24" s="13"/>
      <c r="D24" s="13"/>
      <c r="E24" s="337" t="s">
        <v>22</v>
      </c>
      <c r="F24" s="13"/>
      <c r="G24" s="13"/>
      <c r="H24" s="340">
        <f>+H23+H22</f>
        <v>8000</v>
      </c>
      <c r="I24" s="50"/>
      <c r="J24"/>
      <c r="K24"/>
      <c r="L24"/>
      <c r="O24" s="118"/>
      <c r="P24" s="118"/>
      <c r="Q24" s="118"/>
      <c r="R24" s="118"/>
      <c r="S24" s="118"/>
      <c r="T24" s="118"/>
      <c r="U24" s="118"/>
      <c r="V24" s="118"/>
      <c r="W24" s="118"/>
      <c r="X24" s="118"/>
      <c r="Y24" s="118"/>
      <c r="Z24" s="118"/>
      <c r="AB24" s="118"/>
      <c r="AC24" s="118"/>
      <c r="AD24" s="118"/>
      <c r="AE24" s="118"/>
      <c r="AG24" s="118"/>
    </row>
    <row r="25" spans="1:27" ht="13.5" thickBot="1">
      <c r="A25" s="5" t="s">
        <v>23</v>
      </c>
      <c r="B25" s="4"/>
      <c r="C25" s="341">
        <f>C23+C14</f>
        <v>80000</v>
      </c>
      <c r="D25" s="13"/>
      <c r="E25" s="337" t="s">
        <v>24</v>
      </c>
      <c r="F25" s="13"/>
      <c r="G25" s="13"/>
      <c r="H25" s="341">
        <f>H20+H24</f>
        <v>80000</v>
      </c>
      <c r="I25" s="50"/>
      <c r="J25"/>
      <c r="K25"/>
      <c r="L25"/>
      <c r="O25" s="118"/>
      <c r="P25" s="118"/>
      <c r="Q25" s="118"/>
      <c r="R25" s="118"/>
      <c r="S25" s="118"/>
      <c r="T25" s="118"/>
      <c r="U25" s="118"/>
      <c r="V25" s="118"/>
      <c r="W25" s="118"/>
      <c r="X25" s="118"/>
      <c r="Y25" s="118"/>
      <c r="Z25" s="118"/>
      <c r="AA25" s="118"/>
    </row>
    <row r="26" spans="1:15" ht="13.5" thickTop="1">
      <c r="A26" s="8"/>
      <c r="B26" s="9"/>
      <c r="C26" s="154"/>
      <c r="D26" s="9"/>
      <c r="E26" s="9"/>
      <c r="F26" s="9"/>
      <c r="G26" s="9"/>
      <c r="H26" s="9"/>
      <c r="I26" s="52"/>
      <c r="J26"/>
      <c r="K26"/>
      <c r="L26"/>
      <c r="O26" s="118"/>
    </row>
    <row r="28" spans="1:2" ht="12.75">
      <c r="A28" s="6" t="s">
        <v>193</v>
      </c>
      <c r="B28"/>
    </row>
    <row r="29" spans="1:3" ht="12.75">
      <c r="A29" s="6" t="s">
        <v>98</v>
      </c>
      <c r="C29" s="199">
        <v>5</v>
      </c>
    </row>
  </sheetData>
  <mergeCells count="4">
    <mergeCell ref="A1:I1"/>
    <mergeCell ref="A2:I2"/>
    <mergeCell ref="A3:I3"/>
    <mergeCell ref="A4:I4"/>
  </mergeCells>
  <printOptions/>
  <pageMargins left="0.5" right="0.29" top="1.05" bottom="0.45"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0.xml><?xml version="1.0" encoding="utf-8"?>
<worksheet xmlns="http://schemas.openxmlformats.org/spreadsheetml/2006/main" xmlns:r="http://schemas.openxmlformats.org/officeDocument/2006/relationships">
  <sheetPr codeName="Sheet18"/>
  <dimension ref="A1:I31"/>
  <sheetViews>
    <sheetView workbookViewId="0" topLeftCell="A4">
      <selection activeCell="H35" sqref="H35"/>
    </sheetView>
  </sheetViews>
  <sheetFormatPr defaultColWidth="9.140625" defaultRowHeight="12.75"/>
  <cols>
    <col min="1" max="1" width="4.421875" style="0" customWidth="1"/>
    <col min="2" max="2" width="25.140625" style="0" bestFit="1" customWidth="1"/>
    <col min="3" max="3" width="1.28515625" style="0" customWidth="1"/>
    <col min="5" max="5" width="1.57421875" style="0" customWidth="1"/>
    <col min="6" max="6" width="4.421875" style="0" customWidth="1"/>
    <col min="7" max="7" width="14.28125" style="0" customWidth="1"/>
    <col min="8" max="8" width="18.7109375" style="0" customWidth="1"/>
    <col min="9" max="9" width="9.8515625" style="0" customWidth="1"/>
  </cols>
  <sheetData>
    <row r="1" spans="1:9" ht="15.75">
      <c r="A1" s="421" t="str">
        <f>'4th Year BS'!A1:I1</f>
        <v>Speedy B's LLC - NEW</v>
      </c>
      <c r="B1" s="422"/>
      <c r="C1" s="422"/>
      <c r="D1" s="422"/>
      <c r="E1" s="422"/>
      <c r="F1" s="422"/>
      <c r="G1" s="422"/>
      <c r="H1" s="422"/>
      <c r="I1" s="423"/>
    </row>
    <row r="2" spans="1:9" ht="15.75">
      <c r="A2" s="444" t="s">
        <v>0</v>
      </c>
      <c r="B2" s="445"/>
      <c r="C2" s="445"/>
      <c r="D2" s="445"/>
      <c r="E2" s="445"/>
      <c r="F2" s="445"/>
      <c r="G2" s="445"/>
      <c r="H2" s="445"/>
      <c r="I2" s="446"/>
    </row>
    <row r="3" spans="1:9" ht="15.75">
      <c r="A3" s="444" t="str">
        <f>+'CF consol'!A3:R3</f>
        <v>For Year Ending</v>
      </c>
      <c r="B3" s="445"/>
      <c r="C3" s="445"/>
      <c r="D3" s="445"/>
      <c r="E3" s="445"/>
      <c r="F3" s="445"/>
      <c r="G3" s="445"/>
      <c r="H3" s="445"/>
      <c r="I3" s="446"/>
    </row>
    <row r="4" spans="1:9" ht="15.75">
      <c r="A4" s="427">
        <f>'5th Year IS'!A4:B4</f>
        <v>40786</v>
      </c>
      <c r="B4" s="428"/>
      <c r="C4" s="428"/>
      <c r="D4" s="428"/>
      <c r="E4" s="428"/>
      <c r="F4" s="428"/>
      <c r="G4" s="428"/>
      <c r="H4" s="428"/>
      <c r="I4" s="429"/>
    </row>
    <row r="5" spans="1:9" ht="12.75">
      <c r="A5" s="100"/>
      <c r="B5" s="110"/>
      <c r="C5" s="110"/>
      <c r="D5" s="110"/>
      <c r="E5" s="110"/>
      <c r="F5" s="110"/>
      <c r="G5" s="110"/>
      <c r="H5" s="110"/>
      <c r="I5" s="111"/>
    </row>
    <row r="6" spans="1:9" ht="12.75">
      <c r="A6" s="112" t="str">
        <f>'4th Year BS'!A6:I6</f>
        <v>ASSETS</v>
      </c>
      <c r="B6" s="102"/>
      <c r="C6" s="102"/>
      <c r="D6" s="57"/>
      <c r="E6" s="102"/>
      <c r="F6" s="113" t="str">
        <f>'4th Year BS'!F6:N6</f>
        <v>LIABILITIES</v>
      </c>
      <c r="G6" s="102"/>
      <c r="H6" s="102"/>
      <c r="I6" s="103"/>
    </row>
    <row r="7" spans="1:9" ht="12.75">
      <c r="A7" s="101" t="str">
        <f>'4th Year BS'!A7:I7</f>
        <v>Current Assets</v>
      </c>
      <c r="B7" s="102"/>
      <c r="C7" s="102"/>
      <c r="D7" s="57"/>
      <c r="E7" s="102"/>
      <c r="F7" s="102" t="str">
        <f>'4th Year BS'!F7:N7</f>
        <v>Current Liabilities</v>
      </c>
      <c r="G7" s="102"/>
      <c r="H7" s="102"/>
      <c r="I7" s="70"/>
    </row>
    <row r="8" spans="1:9" ht="12.75">
      <c r="A8" s="101"/>
      <c r="B8" s="102" t="str">
        <f>'4th Year BS'!B8:J8</f>
        <v>Cash</v>
      </c>
      <c r="C8" s="102"/>
      <c r="D8" s="363">
        <f>'5th Year CF'!B40</f>
        <v>102775.63041666671</v>
      </c>
      <c r="E8" s="363"/>
      <c r="F8" s="363"/>
      <c r="G8" s="363" t="str">
        <f>'4th Year BS'!G8:O8</f>
        <v>CPLTD</v>
      </c>
      <c r="H8" s="363"/>
      <c r="I8" s="356">
        <f>SUM('Pmt Schedule'!E70:E81)</f>
        <v>11919</v>
      </c>
    </row>
    <row r="9" spans="1:9" ht="12.75">
      <c r="A9" s="101"/>
      <c r="B9" s="102" t="str">
        <f>'4th Year BS'!B9:J9</f>
        <v>Inventory</v>
      </c>
      <c r="C9" s="102"/>
      <c r="D9" s="363">
        <f>+'4th Year BS'!D9+'5th Year CF'!B32</f>
        <v>4500</v>
      </c>
      <c r="E9" s="363"/>
      <c r="F9" s="363"/>
      <c r="G9" s="363" t="str">
        <f>'4th Year BS'!G9:O9</f>
        <v>Trade Payable</v>
      </c>
      <c r="H9" s="363"/>
      <c r="I9" s="356">
        <f>+'4th Year BS'!I9-'5th Year CF'!B32+('5th Year CF'!B21-'5th Year CF'!B24)</f>
        <v>1333.9083333333547</v>
      </c>
    </row>
    <row r="10" spans="1:9" ht="12.75">
      <c r="A10" s="101"/>
      <c r="B10" s="102" t="str">
        <f>'4th Year BS'!B10:J10</f>
        <v>Account Receivable</v>
      </c>
      <c r="C10" s="102"/>
      <c r="D10" s="363">
        <f>'4th Year BS'!D10+'5th Year CF'!B9-'5th Year CF'!B10</f>
        <v>0</v>
      </c>
      <c r="E10" s="363"/>
      <c r="F10" s="363"/>
      <c r="G10" s="363" t="str">
        <f>'4th Year BS'!G10:O10</f>
        <v>Accrued Salary</v>
      </c>
      <c r="H10" s="363"/>
      <c r="I10" s="356">
        <f>'4th Year BS'!I10</f>
        <v>0</v>
      </c>
    </row>
    <row r="11" spans="1:9" ht="12.75">
      <c r="A11" s="101"/>
      <c r="B11" s="102" t="s">
        <v>115</v>
      </c>
      <c r="C11" s="57" t="s">
        <v>93</v>
      </c>
      <c r="D11" s="363">
        <f>+I26-D24</f>
        <v>-0.0020833333546761423</v>
      </c>
      <c r="E11" s="363"/>
      <c r="F11" s="363"/>
      <c r="G11" s="363" t="str">
        <f>'4th Year BS'!G11:O11</f>
        <v>Taxes Payable</v>
      </c>
      <c r="H11" s="363"/>
      <c r="I11" s="356">
        <f>'4th Year BS'!I11</f>
        <v>0</v>
      </c>
    </row>
    <row r="12" spans="1:9" ht="12.75">
      <c r="A12" s="101"/>
      <c r="B12" s="102" t="str">
        <f>'4th Year BS'!B12:J12</f>
        <v>Office Supplies</v>
      </c>
      <c r="C12" s="102"/>
      <c r="D12" s="363">
        <f>'4th Year BS'!D12</f>
        <v>0</v>
      </c>
      <c r="E12" s="363"/>
      <c r="F12" s="363"/>
      <c r="G12" s="363" t="str">
        <f>'4th Year BS'!G12:O12</f>
        <v>Other</v>
      </c>
      <c r="H12" s="363"/>
      <c r="I12" s="356">
        <f>'4th Year BS'!I12</f>
        <v>0</v>
      </c>
    </row>
    <row r="13" spans="1:9" ht="12.75">
      <c r="A13" s="101"/>
      <c r="B13" s="102" t="str">
        <f>'4th Year BS'!B13:J13</f>
        <v>Prepaid Expenses / Deposits</v>
      </c>
      <c r="C13" s="102"/>
      <c r="D13" s="363">
        <f>'4th Year BS'!D13</f>
        <v>0</v>
      </c>
      <c r="E13" s="363"/>
      <c r="F13" s="363"/>
      <c r="G13" s="363"/>
      <c r="H13" s="363"/>
      <c r="I13" s="356"/>
    </row>
    <row r="14" spans="1:9" ht="12.75">
      <c r="A14" s="101" t="str">
        <f>'4th Year BS'!A14:I14</f>
        <v>     Total Current Assets</v>
      </c>
      <c r="B14" s="102"/>
      <c r="C14" s="102"/>
      <c r="D14" s="363">
        <f>SUM(D8:D13)</f>
        <v>107275.62833333336</v>
      </c>
      <c r="E14" s="363"/>
      <c r="F14" s="363" t="str">
        <f>'4th Year BS'!F14:N14</f>
        <v>   Total Current Liabilities</v>
      </c>
      <c r="G14" s="363"/>
      <c r="H14" s="363"/>
      <c r="I14" s="356">
        <f>SUM(I8:I13)</f>
        <v>13252.908333333355</v>
      </c>
    </row>
    <row r="15" spans="1:9" ht="12.75">
      <c r="A15" s="101"/>
      <c r="B15" s="102"/>
      <c r="C15" s="102"/>
      <c r="D15" s="363"/>
      <c r="E15" s="363"/>
      <c r="F15" s="363"/>
      <c r="G15" s="363"/>
      <c r="H15" s="363"/>
      <c r="I15" s="356"/>
    </row>
    <row r="16" spans="1:9" ht="12.75">
      <c r="A16" s="101"/>
      <c r="B16" s="102"/>
      <c r="C16" s="102"/>
      <c r="D16" s="363"/>
      <c r="E16" s="363"/>
      <c r="F16" s="363" t="str">
        <f>'4th Year BS'!F16:N16</f>
        <v>Long Term Liabilities</v>
      </c>
      <c r="G16" s="363"/>
      <c r="H16" s="363"/>
      <c r="I16" s="356"/>
    </row>
    <row r="17" spans="1:9" ht="12.75">
      <c r="A17" s="101"/>
      <c r="B17" s="102" t="str">
        <f>'4th Year BS'!B17:J17</f>
        <v>Land</v>
      </c>
      <c r="C17" s="102"/>
      <c r="D17" s="363">
        <f>'4th Year BS'!D17</f>
        <v>0</v>
      </c>
      <c r="E17" s="363"/>
      <c r="F17" s="363"/>
      <c r="G17" s="363" t="str">
        <f>'4th Year BS'!G17:O17</f>
        <v>Term Debt LTP</v>
      </c>
      <c r="H17" s="363"/>
      <c r="I17" s="356">
        <f>+'Pmt Schedule'!F69-'5th Year BS'!I8</f>
        <v>12867</v>
      </c>
    </row>
    <row r="18" spans="1:9" ht="12.75">
      <c r="A18" s="101"/>
      <c r="B18" s="102" t="str">
        <f>'4th Year BS'!B18:J18</f>
        <v>Buildings</v>
      </c>
      <c r="C18" s="102"/>
      <c r="D18" s="363">
        <f>'4th Year BS'!D18</f>
        <v>0</v>
      </c>
      <c r="E18" s="363"/>
      <c r="F18" s="363"/>
      <c r="G18" s="363" t="str">
        <f>'4th Year BS'!G18:O18</f>
        <v>Other</v>
      </c>
      <c r="H18" s="363"/>
      <c r="I18" s="356">
        <f>'4th Year BS'!I18</f>
        <v>0</v>
      </c>
    </row>
    <row r="19" spans="1:9" ht="12.75">
      <c r="A19" s="101"/>
      <c r="B19" s="102" t="str">
        <f>'4th Year BS'!B19:J19</f>
        <v>Equipment</v>
      </c>
      <c r="C19" s="102"/>
      <c r="D19" s="363">
        <f>'4th Year BS'!D19</f>
        <v>30000</v>
      </c>
      <c r="E19" s="363"/>
      <c r="F19" s="363" t="str">
        <f>'4th Year BS'!F19:N19</f>
        <v>   Total Long Term Liabilities</v>
      </c>
      <c r="G19" s="363"/>
      <c r="H19" s="363"/>
      <c r="I19" s="356">
        <f>SUM(I17:I18)</f>
        <v>12867</v>
      </c>
    </row>
    <row r="20" spans="1:9" ht="12.75">
      <c r="A20" s="101"/>
      <c r="B20" s="102" t="str">
        <f>'4th Year BS'!B20:J20</f>
        <v>Other Fixed Assets</v>
      </c>
      <c r="C20" s="102"/>
      <c r="D20" s="363">
        <f>'4th Year BS'!D20</f>
        <v>25500</v>
      </c>
      <c r="E20" s="363"/>
      <c r="F20" s="363"/>
      <c r="G20" s="363"/>
      <c r="H20" s="363"/>
      <c r="I20" s="356"/>
    </row>
    <row r="21" spans="1:9" ht="12.75">
      <c r="A21" s="101"/>
      <c r="B21" s="102" t="str">
        <f>'4th Year BS'!B21:J21</f>
        <v>Accum Depreciation</v>
      </c>
      <c r="C21" s="102"/>
      <c r="D21" s="363">
        <f>'4th Year BS'!D21-'5th Year IS'!B19</f>
        <v>-55500</v>
      </c>
      <c r="E21" s="363"/>
      <c r="F21" s="363" t="str">
        <f>'4th Year BS'!F21:N21</f>
        <v>Total Liabilities</v>
      </c>
      <c r="G21" s="363"/>
      <c r="H21" s="363"/>
      <c r="I21" s="356">
        <f>I19+I14</f>
        <v>26119.908333333355</v>
      </c>
    </row>
    <row r="22" spans="1:9" ht="12.75">
      <c r="A22" s="101" t="str">
        <f>'4th Year BS'!A22:I22</f>
        <v> Total Net Fixed Assets</v>
      </c>
      <c r="B22" s="102"/>
      <c r="C22" s="102"/>
      <c r="D22" s="363">
        <f>SUM(D17:D21)</f>
        <v>0</v>
      </c>
      <c r="E22" s="363"/>
      <c r="F22" s="363"/>
      <c r="G22" s="363"/>
      <c r="H22" s="363"/>
      <c r="I22" s="356"/>
    </row>
    <row r="23" spans="1:9" ht="12.75">
      <c r="A23" s="101"/>
      <c r="B23" s="102"/>
      <c r="C23" s="102"/>
      <c r="D23" s="363"/>
      <c r="E23" s="363"/>
      <c r="F23" s="364" t="str">
        <f>'4th Year BS'!F23:N23</f>
        <v>OWNERS EQUITY</v>
      </c>
      <c r="G23" s="364"/>
      <c r="H23" s="363" t="s">
        <v>165</v>
      </c>
      <c r="I23" s="356">
        <f>-'5th Year CF'!B33</f>
        <v>-30000</v>
      </c>
    </row>
    <row r="24" spans="1:9" ht="12.75">
      <c r="A24" s="101"/>
      <c r="B24" s="102"/>
      <c r="C24" s="102"/>
      <c r="D24" s="365">
        <f>+D8+D9+D10+D12+D13+D22</f>
        <v>107275.63041666671</v>
      </c>
      <c r="E24" s="363"/>
      <c r="F24" s="363"/>
      <c r="G24" s="366" t="s">
        <v>102</v>
      </c>
      <c r="H24" s="363" t="s">
        <v>93</v>
      </c>
      <c r="I24" s="356">
        <f>+'4th Year BS'!I25+'5th Year IS'!B32</f>
        <v>111155.72</v>
      </c>
    </row>
    <row r="25" spans="1:9" ht="12.75">
      <c r="A25" s="101"/>
      <c r="B25" s="102"/>
      <c r="C25" s="102"/>
      <c r="D25" s="363"/>
      <c r="E25" s="363"/>
      <c r="F25" s="363" t="str">
        <f>'4th Year BS'!F25:N25</f>
        <v>  Total Owners Equity</v>
      </c>
      <c r="G25" s="363"/>
      <c r="H25" s="363"/>
      <c r="I25" s="356">
        <f>SUM(I23:I24)</f>
        <v>81155.72</v>
      </c>
    </row>
    <row r="26" spans="1:9" ht="12.75">
      <c r="A26" s="112" t="str">
        <f>'4th Year BS'!A26:I26</f>
        <v>Total Assets</v>
      </c>
      <c r="B26" s="113"/>
      <c r="C26" s="102"/>
      <c r="D26" s="363">
        <f>D14+D22</f>
        <v>107275.62833333336</v>
      </c>
      <c r="E26" s="363"/>
      <c r="F26" s="364" t="str">
        <f>'4th Year BS'!F26:N26</f>
        <v>Total Liabilities and Owners Equity</v>
      </c>
      <c r="G26" s="364"/>
      <c r="H26" s="364"/>
      <c r="I26" s="356">
        <f>I25+I21</f>
        <v>107275.62833333336</v>
      </c>
    </row>
    <row r="27" spans="1:9" ht="12.75">
      <c r="A27" s="117"/>
      <c r="B27" s="124"/>
      <c r="C27" s="124"/>
      <c r="D27" s="124"/>
      <c r="E27" s="124"/>
      <c r="F27" s="124"/>
      <c r="G27" s="124"/>
      <c r="H27" s="124"/>
      <c r="I27" s="123"/>
    </row>
    <row r="28" spans="1:9" ht="12.75">
      <c r="A28" s="97"/>
      <c r="B28" s="97"/>
      <c r="C28" s="97"/>
      <c r="D28" s="97"/>
      <c r="E28" s="97"/>
      <c r="F28" s="97"/>
      <c r="G28" s="97"/>
      <c r="H28" s="97"/>
      <c r="I28" s="97"/>
    </row>
    <row r="29" spans="1:9" ht="12.75">
      <c r="A29" s="97"/>
      <c r="B29" s="97"/>
      <c r="C29" s="97"/>
      <c r="D29" s="97"/>
      <c r="E29" s="97"/>
      <c r="F29" s="48"/>
      <c r="G29" s="97"/>
      <c r="H29" s="97"/>
      <c r="I29" s="97"/>
    </row>
    <row r="30" spans="1:9" ht="12.75">
      <c r="A30" s="97"/>
      <c r="B30" s="97"/>
      <c r="C30" s="97"/>
      <c r="D30" s="97"/>
      <c r="E30" s="97"/>
      <c r="F30" s="97"/>
      <c r="G30" s="97"/>
      <c r="H30" s="97"/>
      <c r="I30" s="97"/>
    </row>
    <row r="31" spans="1:9" ht="12.75">
      <c r="A31" s="97"/>
      <c r="B31" s="97"/>
      <c r="C31" s="97"/>
      <c r="D31" s="97"/>
      <c r="E31" s="97"/>
      <c r="F31" s="48"/>
      <c r="G31" s="97"/>
      <c r="H31" s="97"/>
      <c r="I31" s="97"/>
    </row>
  </sheetData>
  <mergeCells count="4">
    <mergeCell ref="A1:I1"/>
    <mergeCell ref="A2:I2"/>
    <mergeCell ref="A3:I3"/>
    <mergeCell ref="A4:I4"/>
  </mergeCells>
  <printOptions/>
  <pageMargins left="1.81" right="0.5" top="1.3" bottom="1" header="0.5" footer="0.5"/>
  <pageSetup horizontalDpi="600" verticalDpi="6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1.xml><?xml version="1.0" encoding="utf-8"?>
<worksheet xmlns="http://schemas.openxmlformats.org/spreadsheetml/2006/main" xmlns:r="http://schemas.openxmlformats.org/officeDocument/2006/relationships">
  <sheetPr codeName="Sheet19"/>
  <dimension ref="A1:R38"/>
  <sheetViews>
    <sheetView workbookViewId="0" topLeftCell="C4">
      <selection activeCell="P40" sqref="P40"/>
    </sheetView>
  </sheetViews>
  <sheetFormatPr defaultColWidth="9.140625" defaultRowHeight="12.75"/>
  <cols>
    <col min="1" max="1" width="19.421875" style="99" customWidth="1"/>
    <col min="2" max="2" width="6.00390625" style="99" customWidth="1"/>
    <col min="3" max="3" width="6.140625" style="99" customWidth="1"/>
    <col min="4" max="4" width="6.28125" style="99" customWidth="1"/>
    <col min="5" max="5" width="6.140625" style="99" customWidth="1"/>
    <col min="6" max="6" width="6.421875" style="99" customWidth="1"/>
    <col min="7" max="7" width="6.140625" style="99" customWidth="1"/>
    <col min="8" max="8" width="6.7109375" style="99" customWidth="1"/>
    <col min="9" max="9" width="6.421875" style="99" customWidth="1"/>
    <col min="10" max="10" width="6.28125" style="99" customWidth="1"/>
    <col min="11" max="11" width="5.8515625" style="99" customWidth="1"/>
    <col min="12" max="13" width="6.140625" style="99" customWidth="1"/>
    <col min="14" max="18" width="7.00390625" style="99" customWidth="1"/>
    <col min="19" max="16384" width="9.140625" style="99" customWidth="1"/>
  </cols>
  <sheetData>
    <row r="1" spans="1:18" ht="15.75">
      <c r="A1" s="449" t="str">
        <f>'1st year Cash Flow'!A2:N2</f>
        <v>Speedy B's LLC - NEW</v>
      </c>
      <c r="B1" s="450"/>
      <c r="C1" s="450"/>
      <c r="D1" s="450"/>
      <c r="E1" s="450"/>
      <c r="F1" s="450"/>
      <c r="G1" s="450"/>
      <c r="H1" s="450"/>
      <c r="I1" s="450"/>
      <c r="J1" s="450"/>
      <c r="K1" s="450"/>
      <c r="L1" s="450"/>
      <c r="M1" s="450"/>
      <c r="N1" s="450"/>
      <c r="O1" s="450"/>
      <c r="P1" s="450"/>
      <c r="Q1" s="450"/>
      <c r="R1" s="451"/>
    </row>
    <row r="2" spans="1:18" ht="15.75">
      <c r="A2" s="452" t="str">
        <f>'1st year Cash Flow'!A3:N3</f>
        <v>Cash Flow Statement</v>
      </c>
      <c r="B2" s="453"/>
      <c r="C2" s="453"/>
      <c r="D2" s="453"/>
      <c r="E2" s="453"/>
      <c r="F2" s="453"/>
      <c r="G2" s="453"/>
      <c r="H2" s="453"/>
      <c r="I2" s="453"/>
      <c r="J2" s="453"/>
      <c r="K2" s="453"/>
      <c r="L2" s="453"/>
      <c r="M2" s="453"/>
      <c r="N2" s="453"/>
      <c r="O2" s="453"/>
      <c r="P2" s="453"/>
      <c r="Q2" s="453"/>
      <c r="R2" s="454"/>
    </row>
    <row r="3" spans="1:18" ht="15.75">
      <c r="A3" s="455" t="str">
        <f>'1st year Cash Flow'!A4:N4</f>
        <v>For Year Ending</v>
      </c>
      <c r="B3" s="456"/>
      <c r="C3" s="456"/>
      <c r="D3" s="456"/>
      <c r="E3" s="456"/>
      <c r="F3" s="456"/>
      <c r="G3" s="456"/>
      <c r="H3" s="456"/>
      <c r="I3" s="456"/>
      <c r="J3" s="456"/>
      <c r="K3" s="456"/>
      <c r="L3" s="456"/>
      <c r="M3" s="456"/>
      <c r="N3" s="456"/>
      <c r="O3" s="456"/>
      <c r="P3" s="456"/>
      <c r="Q3" s="456"/>
      <c r="R3" s="457"/>
    </row>
    <row r="4" spans="1:18" ht="12.75">
      <c r="A4" s="308"/>
      <c r="B4" s="448" t="s">
        <v>93</v>
      </c>
      <c r="C4" s="448"/>
      <c r="D4" s="249"/>
      <c r="E4" s="249"/>
      <c r="F4" s="249"/>
      <c r="G4" s="249"/>
      <c r="H4" s="249"/>
      <c r="I4" s="249"/>
      <c r="J4" s="249"/>
      <c r="K4" s="249"/>
      <c r="L4" s="249"/>
      <c r="M4" s="249"/>
      <c r="N4" s="298">
        <f>'1st year Income stmt'!A4</f>
        <v>39325</v>
      </c>
      <c r="O4" s="298">
        <f>'2nd Year IS'!$A$4</f>
        <v>39691</v>
      </c>
      <c r="P4" s="298">
        <f>'3rd Year IS'!$A$4</f>
        <v>40056</v>
      </c>
      <c r="Q4" s="298">
        <f>'4th Year IS'!$A$4</f>
        <v>40421</v>
      </c>
      <c r="R4" s="299">
        <f>'5th Year IS'!$A$4</f>
        <v>40786</v>
      </c>
    </row>
    <row r="5" spans="1:18" ht="12.75">
      <c r="A5" s="309"/>
      <c r="B5" s="250">
        <f>'1st year Cash Flow'!B6</f>
        <v>38990</v>
      </c>
      <c r="C5" s="250">
        <f>'1st year Cash Flow'!C6</f>
        <v>39021</v>
      </c>
      <c r="D5" s="250">
        <f>'1st year Cash Flow'!D6</f>
        <v>39051</v>
      </c>
      <c r="E5" s="250">
        <f>'1st year Cash Flow'!E6</f>
        <v>39082</v>
      </c>
      <c r="F5" s="250">
        <f>'1st year Cash Flow'!F6</f>
        <v>39113</v>
      </c>
      <c r="G5" s="250">
        <f>'1st year Cash Flow'!G6</f>
        <v>39141</v>
      </c>
      <c r="H5" s="250">
        <f>'1st year Cash Flow'!H6</f>
        <v>39172</v>
      </c>
      <c r="I5" s="250">
        <f>'1st year Cash Flow'!I6</f>
        <v>39202</v>
      </c>
      <c r="J5" s="250">
        <f>'1st year Cash Flow'!J6</f>
        <v>39233</v>
      </c>
      <c r="K5" s="250">
        <f>'1st year Cash Flow'!K6</f>
        <v>39263</v>
      </c>
      <c r="L5" s="250">
        <f>'1st year Cash Flow'!L6</f>
        <v>39294</v>
      </c>
      <c r="M5" s="251">
        <f>'1st year Cash Flow'!M6</f>
        <v>39325</v>
      </c>
      <c r="N5" s="252"/>
      <c r="O5" s="253"/>
      <c r="P5" s="253"/>
      <c r="Q5" s="253"/>
      <c r="R5" s="254"/>
    </row>
    <row r="6" spans="1:18" ht="12.75">
      <c r="A6" s="309" t="str">
        <f>'1st year Cash Flow'!A7</f>
        <v>Cash Receipts</v>
      </c>
      <c r="B6" s="255"/>
      <c r="C6" s="255"/>
      <c r="D6" s="255"/>
      <c r="E6" s="255"/>
      <c r="F6" s="255"/>
      <c r="G6" s="255"/>
      <c r="H6" s="255"/>
      <c r="I6" s="255"/>
      <c r="J6" s="255"/>
      <c r="K6" s="255"/>
      <c r="L6" s="255"/>
      <c r="M6" s="255"/>
      <c r="N6" s="256"/>
      <c r="O6" s="256"/>
      <c r="P6" s="256"/>
      <c r="Q6" s="256"/>
      <c r="R6" s="257"/>
    </row>
    <row r="7" spans="1:18" ht="12.75">
      <c r="A7" s="310" t="str">
        <f>'1st year Cash Flow'!A8</f>
        <v>  Sales</v>
      </c>
      <c r="B7" s="367">
        <f>'1st year Cash Flow'!B8</f>
        <v>17917</v>
      </c>
      <c r="C7" s="367">
        <f>'1st year Cash Flow'!C8</f>
        <v>17917</v>
      </c>
      <c r="D7" s="367">
        <f>'1st year Cash Flow'!D8</f>
        <v>17917</v>
      </c>
      <c r="E7" s="367">
        <f>'1st year Cash Flow'!E8</f>
        <v>17917</v>
      </c>
      <c r="F7" s="367">
        <f>'1st year Cash Flow'!F8</f>
        <v>17917</v>
      </c>
      <c r="G7" s="367">
        <f>'1st year Cash Flow'!G8</f>
        <v>17917</v>
      </c>
      <c r="H7" s="367">
        <f>'1st year Cash Flow'!H8</f>
        <v>17917</v>
      </c>
      <c r="I7" s="367">
        <f>'1st year Cash Flow'!I8</f>
        <v>17917</v>
      </c>
      <c r="J7" s="367">
        <f>'1st year Cash Flow'!J8</f>
        <v>17917</v>
      </c>
      <c r="K7" s="367">
        <f>'1st year Cash Flow'!K8</f>
        <v>17917</v>
      </c>
      <c r="L7" s="367">
        <f>'1st year Cash Flow'!L8</f>
        <v>17917</v>
      </c>
      <c r="M7" s="367">
        <f>'1st year Cash Flow'!M8</f>
        <v>17917</v>
      </c>
      <c r="N7" s="368">
        <f>'1st year Cash Flow'!N8</f>
        <v>215004</v>
      </c>
      <c r="O7" s="368">
        <f>'2nd Year CF'!F8</f>
        <v>225753</v>
      </c>
      <c r="P7" s="368">
        <f>'3rd Year CF'!F8</f>
        <v>237041</v>
      </c>
      <c r="Q7" s="368">
        <f>'4th Year CF'!B8</f>
        <v>248893</v>
      </c>
      <c r="R7" s="369">
        <f>'5th Year CF'!B8</f>
        <v>261337.65000000002</v>
      </c>
    </row>
    <row r="8" spans="1:18" ht="12.75">
      <c r="A8" s="310" t="str">
        <f>'1st year Cash Flow'!A9</f>
        <v>  A/R Sales</v>
      </c>
      <c r="B8" s="367">
        <f>'1st year Cash Flow'!B9</f>
        <v>0</v>
      </c>
      <c r="C8" s="367">
        <f>'1st year Cash Flow'!C9</f>
        <v>0</v>
      </c>
      <c r="D8" s="367">
        <f>'1st year Cash Flow'!D9</f>
        <v>0</v>
      </c>
      <c r="E8" s="367">
        <f>'1st year Cash Flow'!E9</f>
        <v>0</v>
      </c>
      <c r="F8" s="367">
        <f>'1st year Cash Flow'!F9</f>
        <v>0</v>
      </c>
      <c r="G8" s="367">
        <f>'1st year Cash Flow'!G9</f>
        <v>0</v>
      </c>
      <c r="H8" s="367">
        <f>'1st year Cash Flow'!H9</f>
        <v>0</v>
      </c>
      <c r="I8" s="367">
        <f>'1st year Cash Flow'!I9</f>
        <v>0</v>
      </c>
      <c r="J8" s="367">
        <f>'1st year Cash Flow'!J9</f>
        <v>0</v>
      </c>
      <c r="K8" s="367">
        <f>'1st year Cash Flow'!K9</f>
        <v>0</v>
      </c>
      <c r="L8" s="367">
        <f>'1st year Cash Flow'!L9</f>
        <v>0</v>
      </c>
      <c r="M8" s="367">
        <f>'1st year Cash Flow'!M9</f>
        <v>0</v>
      </c>
      <c r="N8" s="368">
        <f>'1st year Cash Flow'!N9</f>
        <v>0</v>
      </c>
      <c r="O8" s="368">
        <f>'2nd Year CF'!F9</f>
        <v>0</v>
      </c>
      <c r="P8" s="368">
        <f>'3rd Year CF'!F9</f>
        <v>0</v>
      </c>
      <c r="Q8" s="368">
        <f>'4th Year CF'!B9</f>
        <v>0</v>
      </c>
      <c r="R8" s="369">
        <f>'5th Year CF'!B9</f>
        <v>0</v>
      </c>
    </row>
    <row r="9" spans="1:18" ht="12.75">
      <c r="A9" s="310" t="str">
        <f>'1st year Cash Flow'!A10</f>
        <v>  A/R Collections </v>
      </c>
      <c r="B9" s="367">
        <f>'1st year Cash Flow'!B10</f>
        <v>0</v>
      </c>
      <c r="C9" s="367">
        <f>'1st year Cash Flow'!C10</f>
        <v>0</v>
      </c>
      <c r="D9" s="367">
        <f>'1st year Cash Flow'!D10</f>
        <v>0</v>
      </c>
      <c r="E9" s="367">
        <f>'1st year Cash Flow'!E10</f>
        <v>0</v>
      </c>
      <c r="F9" s="367">
        <f>'1st year Cash Flow'!F10</f>
        <v>0</v>
      </c>
      <c r="G9" s="367">
        <f>'1st year Cash Flow'!G10</f>
        <v>0</v>
      </c>
      <c r="H9" s="367">
        <f>'1st year Cash Flow'!H10</f>
        <v>0</v>
      </c>
      <c r="I9" s="367">
        <f>'1st year Cash Flow'!I10</f>
        <v>0</v>
      </c>
      <c r="J9" s="367">
        <f>'1st year Cash Flow'!J10</f>
        <v>0</v>
      </c>
      <c r="K9" s="367">
        <f>'1st year Cash Flow'!K10</f>
        <v>0</v>
      </c>
      <c r="L9" s="367">
        <f>'1st year Cash Flow'!L10</f>
        <v>0</v>
      </c>
      <c r="M9" s="367">
        <f>'1st year Cash Flow'!M10</f>
        <v>0</v>
      </c>
      <c r="N9" s="368">
        <f>'1st year Cash Flow'!N10</f>
        <v>0</v>
      </c>
      <c r="O9" s="368">
        <f>'2nd Year CF'!F10</f>
        <v>0</v>
      </c>
      <c r="P9" s="368">
        <f>'3rd Year CF'!F10</f>
        <v>0</v>
      </c>
      <c r="Q9" s="368">
        <f>'4th Year CF'!B10</f>
        <v>0</v>
      </c>
      <c r="R9" s="369">
        <f>'5th Year CF'!B10</f>
        <v>0</v>
      </c>
    </row>
    <row r="10" spans="1:18" ht="12.75">
      <c r="A10" s="310" t="str">
        <f>'1st year Cash Flow'!A11</f>
        <v>Total Cash Sales </v>
      </c>
      <c r="B10" s="367">
        <f>'1st year Cash Flow'!B11</f>
        <v>17917</v>
      </c>
      <c r="C10" s="367">
        <f>'1st year Cash Flow'!C11</f>
        <v>17917</v>
      </c>
      <c r="D10" s="367">
        <f>'1st year Cash Flow'!D11</f>
        <v>17917</v>
      </c>
      <c r="E10" s="367">
        <f>'1st year Cash Flow'!E11</f>
        <v>17917</v>
      </c>
      <c r="F10" s="367">
        <f>'1st year Cash Flow'!F11</f>
        <v>17917</v>
      </c>
      <c r="G10" s="367">
        <f>'1st year Cash Flow'!G11</f>
        <v>17917</v>
      </c>
      <c r="H10" s="367">
        <f>'1st year Cash Flow'!H11</f>
        <v>17917</v>
      </c>
      <c r="I10" s="367">
        <f>'1st year Cash Flow'!I11</f>
        <v>17917</v>
      </c>
      <c r="J10" s="367">
        <f>'1st year Cash Flow'!J11</f>
        <v>17917</v>
      </c>
      <c r="K10" s="367">
        <f>'1st year Cash Flow'!K11</f>
        <v>17917</v>
      </c>
      <c r="L10" s="367">
        <f>'1st year Cash Flow'!L11</f>
        <v>17917</v>
      </c>
      <c r="M10" s="367">
        <f>'1st year Cash Flow'!M11</f>
        <v>17917</v>
      </c>
      <c r="N10" s="368">
        <f>'1st year Cash Flow'!N11</f>
        <v>215004</v>
      </c>
      <c r="O10" s="368">
        <f>'2nd Year CF'!F11</f>
        <v>225753</v>
      </c>
      <c r="P10" s="368">
        <f>'3rd Year CF'!F11</f>
        <v>237041</v>
      </c>
      <c r="Q10" s="368">
        <f>'4th Year CF'!B11</f>
        <v>248893</v>
      </c>
      <c r="R10" s="369">
        <f>'5th Year CF'!B11</f>
        <v>261337.65000000002</v>
      </c>
    </row>
    <row r="11" spans="1:18" ht="12.75">
      <c r="A11" s="310"/>
      <c r="B11" s="367"/>
      <c r="C11" s="367"/>
      <c r="D11" s="367"/>
      <c r="E11" s="367"/>
      <c r="F11" s="367"/>
      <c r="G11" s="367"/>
      <c r="H11" s="367"/>
      <c r="I11" s="367"/>
      <c r="J11" s="367"/>
      <c r="K11" s="367"/>
      <c r="L11" s="367"/>
      <c r="M11" s="367"/>
      <c r="N11" s="368"/>
      <c r="O11" s="368"/>
      <c r="P11" s="368"/>
      <c r="Q11" s="368"/>
      <c r="R11" s="369"/>
    </row>
    <row r="12" spans="1:18" ht="12.75">
      <c r="A12" s="309" t="str">
        <f>'1st year Cash Flow'!A13</f>
        <v>Financing Income</v>
      </c>
      <c r="B12" s="367"/>
      <c r="C12" s="367"/>
      <c r="D12" s="367"/>
      <c r="E12" s="367"/>
      <c r="F12" s="367"/>
      <c r="G12" s="367"/>
      <c r="H12" s="367"/>
      <c r="I12" s="367"/>
      <c r="J12" s="367"/>
      <c r="K12" s="367"/>
      <c r="L12" s="367"/>
      <c r="M12" s="367"/>
      <c r="N12" s="368"/>
      <c r="O12" s="368"/>
      <c r="P12" s="368"/>
      <c r="Q12" s="368"/>
      <c r="R12" s="369"/>
    </row>
    <row r="13" spans="1:18" ht="12.75">
      <c r="A13" s="310" t="str">
        <f>'1st year Cash Flow'!A14</f>
        <v>  Interest Income</v>
      </c>
      <c r="B13" s="367">
        <f>'1st year Cash Flow'!B14</f>
        <v>0</v>
      </c>
      <c r="C13" s="367">
        <f>'1st year Cash Flow'!C14</f>
        <v>0</v>
      </c>
      <c r="D13" s="367">
        <f>'1st year Cash Flow'!D14</f>
        <v>0</v>
      </c>
      <c r="E13" s="367">
        <f>'1st year Cash Flow'!E14</f>
        <v>0</v>
      </c>
      <c r="F13" s="367">
        <f>'1st year Cash Flow'!F14</f>
        <v>0</v>
      </c>
      <c r="G13" s="367">
        <f>'1st year Cash Flow'!G14</f>
        <v>0</v>
      </c>
      <c r="H13" s="367">
        <f>'1st year Cash Flow'!H14</f>
        <v>0</v>
      </c>
      <c r="I13" s="367">
        <f>'1st year Cash Flow'!I14</f>
        <v>0</v>
      </c>
      <c r="J13" s="367">
        <f>'1st year Cash Flow'!J14</f>
        <v>0</v>
      </c>
      <c r="K13" s="367">
        <f>'1st year Cash Flow'!K14</f>
        <v>0</v>
      </c>
      <c r="L13" s="367">
        <f>'1st year Cash Flow'!L14</f>
        <v>0</v>
      </c>
      <c r="M13" s="367">
        <f>'1st year Cash Flow'!M14</f>
        <v>0</v>
      </c>
      <c r="N13" s="368">
        <f>'1st year Cash Flow'!N14</f>
        <v>0</v>
      </c>
      <c r="O13" s="368">
        <f>'2nd Year CF'!F14</f>
        <v>0</v>
      </c>
      <c r="P13" s="368">
        <f>'3rd Year CF'!F14</f>
        <v>0</v>
      </c>
      <c r="Q13" s="368">
        <f>'4th Year CF'!B14</f>
        <v>0</v>
      </c>
      <c r="R13" s="369">
        <f>'5th Year CF'!B14</f>
        <v>0</v>
      </c>
    </row>
    <row r="14" spans="1:18" ht="12.75">
      <c r="A14" s="310" t="str">
        <f>'1st year Cash Flow'!A15</f>
        <v>  Loan Proceeds</v>
      </c>
      <c r="B14" s="367">
        <f>'1st year Cash Flow'!B15</f>
        <v>0</v>
      </c>
      <c r="C14" s="367">
        <f>'1st year Cash Flow'!C15</f>
        <v>0</v>
      </c>
      <c r="D14" s="367">
        <f>'1st year Cash Flow'!D15</f>
        <v>0</v>
      </c>
      <c r="E14" s="367">
        <f>'1st year Cash Flow'!E15</f>
        <v>0</v>
      </c>
      <c r="F14" s="367">
        <f>'1st year Cash Flow'!F15</f>
        <v>0</v>
      </c>
      <c r="G14" s="367">
        <f>'1st year Cash Flow'!G15</f>
        <v>0</v>
      </c>
      <c r="H14" s="367">
        <f>'1st year Cash Flow'!H15</f>
        <v>0</v>
      </c>
      <c r="I14" s="367">
        <f>'1st year Cash Flow'!I15</f>
        <v>0</v>
      </c>
      <c r="J14" s="367">
        <f>'1st year Cash Flow'!J15</f>
        <v>0</v>
      </c>
      <c r="K14" s="367">
        <f>'1st year Cash Flow'!K15</f>
        <v>0</v>
      </c>
      <c r="L14" s="367">
        <f>'1st year Cash Flow'!L15</f>
        <v>0</v>
      </c>
      <c r="M14" s="367">
        <f>'1st year Cash Flow'!M15</f>
        <v>0</v>
      </c>
      <c r="N14" s="368">
        <f>'1st year Cash Flow'!N15</f>
        <v>0</v>
      </c>
      <c r="O14" s="368">
        <f>'2nd Year CF'!F15</f>
        <v>0</v>
      </c>
      <c r="P14" s="368">
        <f>'3rd Year CF'!F15</f>
        <v>0</v>
      </c>
      <c r="Q14" s="368">
        <f>'4th Year CF'!B15</f>
        <v>0</v>
      </c>
      <c r="R14" s="369">
        <f>'5th Year CF'!B15</f>
        <v>0</v>
      </c>
    </row>
    <row r="15" spans="1:18" ht="12.75">
      <c r="A15" s="310" t="s">
        <v>133</v>
      </c>
      <c r="B15" s="367">
        <f>'1st year Cash Flow'!B16</f>
        <v>0</v>
      </c>
      <c r="C15" s="367">
        <f>'1st year Cash Flow'!C16</f>
        <v>0</v>
      </c>
      <c r="D15" s="367">
        <f>'1st year Cash Flow'!D16</f>
        <v>0</v>
      </c>
      <c r="E15" s="367">
        <f>'1st year Cash Flow'!E16</f>
        <v>0</v>
      </c>
      <c r="F15" s="367">
        <f>'1st year Cash Flow'!F16</f>
        <v>0</v>
      </c>
      <c r="G15" s="367">
        <f>'1st year Cash Flow'!G16</f>
        <v>0</v>
      </c>
      <c r="H15" s="367">
        <f>'1st year Cash Flow'!H16</f>
        <v>0</v>
      </c>
      <c r="I15" s="367">
        <f>'1st year Cash Flow'!I16</f>
        <v>0</v>
      </c>
      <c r="J15" s="367">
        <f>'1st year Cash Flow'!J16</f>
        <v>0</v>
      </c>
      <c r="K15" s="367">
        <f>'1st year Cash Flow'!K16</f>
        <v>0</v>
      </c>
      <c r="L15" s="367">
        <f>'1st year Cash Flow'!L16</f>
        <v>0</v>
      </c>
      <c r="M15" s="367">
        <f>'1st year Cash Flow'!M16</f>
        <v>0</v>
      </c>
      <c r="N15" s="368">
        <f>'1st year Cash Flow'!N16</f>
        <v>0</v>
      </c>
      <c r="O15" s="368">
        <f>'2nd Year CF'!F16</f>
        <v>0</v>
      </c>
      <c r="P15" s="368">
        <f>'3rd Year CF'!F16</f>
        <v>0</v>
      </c>
      <c r="Q15" s="368">
        <f>'4th Year CF'!B16</f>
        <v>0</v>
      </c>
      <c r="R15" s="369">
        <f>'5th Year CF'!B16</f>
        <v>0</v>
      </c>
    </row>
    <row r="16" spans="1:18" ht="12.75">
      <c r="A16" s="309" t="s">
        <v>134</v>
      </c>
      <c r="B16" s="370">
        <f>'1st year Cash Flow'!B17</f>
        <v>17917</v>
      </c>
      <c r="C16" s="370">
        <f>'1st year Cash Flow'!C17</f>
        <v>17917</v>
      </c>
      <c r="D16" s="370">
        <f>'1st year Cash Flow'!D17</f>
        <v>17917</v>
      </c>
      <c r="E16" s="370">
        <f>'1st year Cash Flow'!E17</f>
        <v>17917</v>
      </c>
      <c r="F16" s="370">
        <f>'1st year Cash Flow'!F17</f>
        <v>17917</v>
      </c>
      <c r="G16" s="370">
        <f>'1st year Cash Flow'!G17</f>
        <v>17917</v>
      </c>
      <c r="H16" s="370">
        <f>'1st year Cash Flow'!H17</f>
        <v>17917</v>
      </c>
      <c r="I16" s="370">
        <f>'1st year Cash Flow'!I17</f>
        <v>17917</v>
      </c>
      <c r="J16" s="370">
        <f>'1st year Cash Flow'!J17</f>
        <v>17917</v>
      </c>
      <c r="K16" s="370">
        <f>'1st year Cash Flow'!K17</f>
        <v>17917</v>
      </c>
      <c r="L16" s="370">
        <f>'1st year Cash Flow'!L17</f>
        <v>17917</v>
      </c>
      <c r="M16" s="370">
        <f>'1st year Cash Flow'!M17</f>
        <v>17917</v>
      </c>
      <c r="N16" s="371">
        <f>'1st year Cash Flow'!N17</f>
        <v>215004</v>
      </c>
      <c r="O16" s="371">
        <f>'2nd Year CF'!F17</f>
        <v>225753</v>
      </c>
      <c r="P16" s="371">
        <f>'3rd Year CF'!F17</f>
        <v>237041</v>
      </c>
      <c r="Q16" s="371">
        <f>'4th Year CF'!B17</f>
        <v>248893</v>
      </c>
      <c r="R16" s="372">
        <f>'5th Year CF'!B17</f>
        <v>261337.65000000002</v>
      </c>
    </row>
    <row r="17" spans="1:18" ht="12.75">
      <c r="A17" s="310"/>
      <c r="B17" s="367"/>
      <c r="C17" s="367"/>
      <c r="D17" s="367"/>
      <c r="E17" s="367"/>
      <c r="F17" s="367"/>
      <c r="G17" s="367"/>
      <c r="H17" s="367"/>
      <c r="I17" s="367"/>
      <c r="J17" s="367"/>
      <c r="K17" s="367"/>
      <c r="L17" s="367"/>
      <c r="M17" s="367"/>
      <c r="N17" s="368"/>
      <c r="O17" s="368"/>
      <c r="P17" s="368"/>
      <c r="Q17" s="368"/>
      <c r="R17" s="369"/>
    </row>
    <row r="18" spans="1:18" ht="12.75">
      <c r="A18" s="309" t="str">
        <f>'1st year Cash Flow'!A19</f>
        <v>Cash Outflows</v>
      </c>
      <c r="B18" s="367"/>
      <c r="C18" s="367"/>
      <c r="D18" s="367"/>
      <c r="E18" s="367"/>
      <c r="F18" s="367"/>
      <c r="G18" s="367"/>
      <c r="H18" s="367"/>
      <c r="I18" s="367"/>
      <c r="J18" s="367"/>
      <c r="K18" s="367"/>
      <c r="L18" s="367"/>
      <c r="M18" s="367"/>
      <c r="N18" s="368"/>
      <c r="O18" s="368"/>
      <c r="P18" s="368"/>
      <c r="Q18" s="368"/>
      <c r="R18" s="369"/>
    </row>
    <row r="19" spans="1:18" ht="12.75">
      <c r="A19" s="310" t="str">
        <f>'1st year Cash Flow'!A20</f>
        <v> Cost of Goods</v>
      </c>
      <c r="B19" s="367">
        <f>+'1st year Cash Flow'!B20</f>
        <v>6270</v>
      </c>
      <c r="C19" s="367">
        <f>+'1st year Cash Flow'!C20</f>
        <v>6270</v>
      </c>
      <c r="D19" s="367">
        <f>+'1st year Cash Flow'!D20</f>
        <v>6270</v>
      </c>
      <c r="E19" s="367">
        <f>+'1st year Cash Flow'!E20</f>
        <v>6270</v>
      </c>
      <c r="F19" s="367">
        <f>+'1st year Cash Flow'!F20</f>
        <v>6270</v>
      </c>
      <c r="G19" s="367">
        <f>+'1st year Cash Flow'!G20</f>
        <v>6270</v>
      </c>
      <c r="H19" s="367">
        <f>+'1st year Cash Flow'!H20</f>
        <v>6270</v>
      </c>
      <c r="I19" s="367">
        <f>+'1st year Cash Flow'!I20</f>
        <v>6270</v>
      </c>
      <c r="J19" s="367">
        <f>+'1st year Cash Flow'!J20</f>
        <v>6270</v>
      </c>
      <c r="K19" s="367">
        <f>+'1st year Cash Flow'!K20</f>
        <v>6270</v>
      </c>
      <c r="L19" s="367">
        <f>+'1st year Cash Flow'!L20</f>
        <v>6270</v>
      </c>
      <c r="M19" s="367">
        <f>+'1st year Cash Flow'!M20</f>
        <v>6270</v>
      </c>
      <c r="N19" s="368">
        <f>+'1st year Cash Flow'!N20</f>
        <v>75240</v>
      </c>
      <c r="O19" s="368">
        <f>'2nd Year CF'!F24</f>
        <v>77860.74166666667</v>
      </c>
      <c r="P19" s="368">
        <f>'3rd Year CF'!F24</f>
        <v>82906.36666666667</v>
      </c>
      <c r="Q19" s="368">
        <f>'4th Year CF'!B24</f>
        <v>87052.49375</v>
      </c>
      <c r="R19" s="369">
        <f>'5th Year CF'!B24</f>
        <v>91404.48958333331</v>
      </c>
    </row>
    <row r="20" spans="1:18" ht="12.75">
      <c r="A20" s="310" t="s">
        <v>310</v>
      </c>
      <c r="B20" s="367">
        <f>+'1st year Cash Flow'!B21</f>
        <v>0</v>
      </c>
      <c r="C20" s="367">
        <f>+'1st year Cash Flow'!C21</f>
        <v>0</v>
      </c>
      <c r="D20" s="367">
        <f>+'1st year Cash Flow'!D21</f>
        <v>0</v>
      </c>
      <c r="E20" s="367">
        <f>+'1st year Cash Flow'!E21</f>
        <v>0</v>
      </c>
      <c r="F20" s="367">
        <f>+'1st year Cash Flow'!F21</f>
        <v>0</v>
      </c>
      <c r="G20" s="367">
        <f>+'1st year Cash Flow'!G21</f>
        <v>0</v>
      </c>
      <c r="H20" s="367">
        <f>+'1st year Cash Flow'!H21</f>
        <v>0</v>
      </c>
      <c r="I20" s="367">
        <f>+'1st year Cash Flow'!I21</f>
        <v>0</v>
      </c>
      <c r="J20" s="367">
        <f>+'1st year Cash Flow'!J21</f>
        <v>0</v>
      </c>
      <c r="K20" s="367">
        <f>+'1st year Cash Flow'!K21</f>
        <v>0</v>
      </c>
      <c r="L20" s="367">
        <f>+'1st year Cash Flow'!L21</f>
        <v>0</v>
      </c>
      <c r="M20" s="367">
        <f>+'1st year Cash Flow'!M21</f>
        <v>0</v>
      </c>
      <c r="N20" s="368">
        <f>+'1st year Cash Flow'!N21</f>
        <v>0</v>
      </c>
      <c r="O20" s="368">
        <f>+'2nd Year CF'!F22</f>
        <v>59259.75</v>
      </c>
      <c r="P20" s="368">
        <f>+'3rd Year CF'!F22</f>
        <v>62223</v>
      </c>
      <c r="Q20" s="368">
        <f>+'4th Year CF'!B22</f>
        <v>65334.75</v>
      </c>
      <c r="R20" s="369">
        <f>+'5th Year CF'!B22</f>
        <v>68601</v>
      </c>
    </row>
    <row r="21" spans="1:18" ht="12.75">
      <c r="A21" s="310" t="s">
        <v>311</v>
      </c>
      <c r="B21" s="367">
        <f>+'1st year Cash Flow'!B22</f>
        <v>0</v>
      </c>
      <c r="C21" s="367">
        <f>+'1st year Cash Flow'!C22</f>
        <v>0</v>
      </c>
      <c r="D21" s="367">
        <f>+'1st year Cash Flow'!D22</f>
        <v>0</v>
      </c>
      <c r="E21" s="367">
        <f>+'1st year Cash Flow'!E22</f>
        <v>0</v>
      </c>
      <c r="F21" s="367">
        <f>+'1st year Cash Flow'!F22</f>
        <v>0</v>
      </c>
      <c r="G21" s="367">
        <f>+'1st year Cash Flow'!G22</f>
        <v>0</v>
      </c>
      <c r="H21" s="367">
        <f>+'1st year Cash Flow'!H22</f>
        <v>0</v>
      </c>
      <c r="I21" s="367">
        <f>+'1st year Cash Flow'!I22</f>
        <v>0</v>
      </c>
      <c r="J21" s="367">
        <f>+'1st year Cash Flow'!J22</f>
        <v>0</v>
      </c>
      <c r="K21" s="367">
        <f>+'1st year Cash Flow'!K22</f>
        <v>0</v>
      </c>
      <c r="L21" s="367">
        <f>+'1st year Cash Flow'!L22</f>
        <v>0</v>
      </c>
      <c r="M21" s="367">
        <f>+'1st year Cash Flow'!M22</f>
        <v>0</v>
      </c>
      <c r="N21" s="368">
        <f>+'1st year Cash Flow'!N22</f>
        <v>0</v>
      </c>
      <c r="O21" s="368">
        <f>+'2nd Year CF'!F23</f>
        <v>58107.49166666667</v>
      </c>
      <c r="P21" s="368">
        <f>+'3rd Year CF'!F23</f>
        <v>62165.36666666667</v>
      </c>
      <c r="Q21" s="368">
        <f>+'4th Year CF'!B23</f>
        <v>65274.243749999994</v>
      </c>
      <c r="R21" s="369">
        <f>+'5th Year CF'!B23</f>
        <v>68537.48958333333</v>
      </c>
    </row>
    <row r="22" spans="1:18" ht="12.75">
      <c r="A22" s="310" t="s">
        <v>325</v>
      </c>
      <c r="B22" s="367">
        <f>+'1st year Cash Flow'!B23</f>
        <v>6270</v>
      </c>
      <c r="C22" s="367">
        <f>+'1st year Cash Flow'!C23</f>
        <v>6270</v>
      </c>
      <c r="D22" s="367">
        <f>+'1st year Cash Flow'!D23</f>
        <v>6270</v>
      </c>
      <c r="E22" s="367">
        <f>+'1st year Cash Flow'!E23</f>
        <v>6270</v>
      </c>
      <c r="F22" s="367">
        <f>+'1st year Cash Flow'!F23</f>
        <v>6270</v>
      </c>
      <c r="G22" s="367">
        <f>+'1st year Cash Flow'!G23</f>
        <v>6270</v>
      </c>
      <c r="H22" s="367">
        <f>+'1st year Cash Flow'!H23</f>
        <v>6270</v>
      </c>
      <c r="I22" s="367">
        <f>+'1st year Cash Flow'!I23</f>
        <v>6270</v>
      </c>
      <c r="J22" s="367">
        <f>+'1st year Cash Flow'!J23</f>
        <v>6270</v>
      </c>
      <c r="K22" s="367">
        <f>+'1st year Cash Flow'!K23</f>
        <v>6270</v>
      </c>
      <c r="L22" s="367">
        <f>+'1st year Cash Flow'!L23</f>
        <v>6270</v>
      </c>
      <c r="M22" s="367">
        <f>+'1st year Cash Flow'!M23</f>
        <v>6270</v>
      </c>
      <c r="N22" s="368">
        <f>+'1st year Cash Flow'!N23</f>
        <v>75240</v>
      </c>
      <c r="O22" s="368">
        <f>+'2nd Year CF'!F24</f>
        <v>77860.74166666667</v>
      </c>
      <c r="P22" s="368">
        <f>+'3rd Year CF'!F24</f>
        <v>82906.36666666667</v>
      </c>
      <c r="Q22" s="368">
        <f>+'4th Year CF'!B24</f>
        <v>87052.49375</v>
      </c>
      <c r="R22" s="369">
        <f>+'5th Year CF'!B24</f>
        <v>91404.48958333331</v>
      </c>
    </row>
    <row r="23" spans="1:18" ht="12.75">
      <c r="A23" s="310" t="s">
        <v>135</v>
      </c>
      <c r="B23" s="367">
        <f>'1st year Cash Flow'!B24</f>
        <v>2555</v>
      </c>
      <c r="C23" s="367">
        <f>'1st year Cash Flow'!C24</f>
        <v>2555</v>
      </c>
      <c r="D23" s="367">
        <f>'1st year Cash Flow'!D24</f>
        <v>2555</v>
      </c>
      <c r="E23" s="367">
        <f>'1st year Cash Flow'!E24</f>
        <v>2555</v>
      </c>
      <c r="F23" s="367">
        <f>'1st year Cash Flow'!F24</f>
        <v>2555</v>
      </c>
      <c r="G23" s="367">
        <f>'1st year Cash Flow'!G24</f>
        <v>2555</v>
      </c>
      <c r="H23" s="367">
        <f>'1st year Cash Flow'!H24</f>
        <v>2555</v>
      </c>
      <c r="I23" s="367">
        <f>'1st year Cash Flow'!I24</f>
        <v>2555</v>
      </c>
      <c r="J23" s="367">
        <f>'1st year Cash Flow'!J24</f>
        <v>2555</v>
      </c>
      <c r="K23" s="367">
        <f>'1st year Cash Flow'!K24</f>
        <v>2555</v>
      </c>
      <c r="L23" s="367">
        <f>'1st year Cash Flow'!L24</f>
        <v>2555</v>
      </c>
      <c r="M23" s="367">
        <f>'1st year Cash Flow'!M24</f>
        <v>2559</v>
      </c>
      <c r="N23" s="368">
        <f>'1st year Cash Flow'!N24</f>
        <v>30664</v>
      </c>
      <c r="O23" s="368">
        <f>'2nd Year CF'!F25</f>
        <v>31605</v>
      </c>
      <c r="P23" s="368">
        <f>'3rd Year CF'!F25</f>
        <v>32959</v>
      </c>
      <c r="Q23" s="368">
        <f>'4th Year CF'!B25</f>
        <v>30621</v>
      </c>
      <c r="R23" s="369">
        <f>'5th Year CF'!B25</f>
        <v>31566</v>
      </c>
    </row>
    <row r="24" spans="1:18" ht="12.75">
      <c r="A24" s="310" t="str">
        <f>'1st year Cash Flow'!A26</f>
        <v>Salary expenses</v>
      </c>
      <c r="B24" s="367">
        <f>'1st year Cash Flow'!B26</f>
        <v>4986</v>
      </c>
      <c r="C24" s="367">
        <f>'1st year Cash Flow'!C26</f>
        <v>4986</v>
      </c>
      <c r="D24" s="367">
        <f>'1st year Cash Flow'!D26</f>
        <v>4986</v>
      </c>
      <c r="E24" s="367">
        <f>'1st year Cash Flow'!E26</f>
        <v>4986</v>
      </c>
      <c r="F24" s="367">
        <f>'1st year Cash Flow'!F26</f>
        <v>4986</v>
      </c>
      <c r="G24" s="367">
        <f>'1st year Cash Flow'!G26</f>
        <v>4986</v>
      </c>
      <c r="H24" s="367">
        <f>'1st year Cash Flow'!H26</f>
        <v>4986</v>
      </c>
      <c r="I24" s="367">
        <f>'1st year Cash Flow'!I26</f>
        <v>4986</v>
      </c>
      <c r="J24" s="367">
        <f>'1st year Cash Flow'!J26</f>
        <v>4986</v>
      </c>
      <c r="K24" s="367">
        <f>'1st year Cash Flow'!K26</f>
        <v>4986</v>
      </c>
      <c r="L24" s="367">
        <f>'1st year Cash Flow'!L26</f>
        <v>4986</v>
      </c>
      <c r="M24" s="367">
        <f>'1st year Cash Flow'!M26</f>
        <v>4986</v>
      </c>
      <c r="N24" s="368">
        <f>'1st year Cash Flow'!N26</f>
        <v>59832</v>
      </c>
      <c r="O24" s="368">
        <f>'2nd Year CF'!F26</f>
        <v>61632</v>
      </c>
      <c r="P24" s="368">
        <f>'3rd Year CF'!F26</f>
        <v>63480</v>
      </c>
      <c r="Q24" s="368">
        <f>'4th Year CF'!B26</f>
        <v>65384</v>
      </c>
      <c r="R24" s="369">
        <f>'5th Year CF'!B26</f>
        <v>67346</v>
      </c>
    </row>
    <row r="25" spans="1:18" ht="12.75">
      <c r="A25" s="310" t="s">
        <v>199</v>
      </c>
      <c r="B25" s="367">
        <f>+'1st year Cash Flow'!B25</f>
        <v>540.2</v>
      </c>
      <c r="C25" s="367">
        <f>+'1st year Cash Flow'!C25</f>
        <v>541</v>
      </c>
      <c r="D25" s="367">
        <f>+'1st year Cash Flow'!D25</f>
        <v>541.8000000000001</v>
      </c>
      <c r="E25" s="367">
        <f>+'1st year Cash Flow'!E25</f>
        <v>542.6</v>
      </c>
      <c r="F25" s="367">
        <f>+'1st year Cash Flow'!F25</f>
        <v>543.6</v>
      </c>
      <c r="G25" s="367">
        <f>+'1st year Cash Flow'!G25</f>
        <v>544.4</v>
      </c>
      <c r="H25" s="367">
        <f>+'1st year Cash Flow'!H25</f>
        <v>545.4</v>
      </c>
      <c r="I25" s="367">
        <f>+'1st year Cash Flow'!I25</f>
        <v>546.2</v>
      </c>
      <c r="J25" s="367">
        <f>+'1st year Cash Flow'!J25</f>
        <v>547.2</v>
      </c>
      <c r="K25" s="367">
        <f>+'1st year Cash Flow'!K25</f>
        <v>548</v>
      </c>
      <c r="L25" s="367">
        <f>+'1st year Cash Flow'!L25</f>
        <v>549</v>
      </c>
      <c r="M25" s="367">
        <f>+'1st year Cash Flow'!M25</f>
        <v>549</v>
      </c>
      <c r="N25" s="368">
        <f>+'1st year Cash Flow'!N25</f>
        <v>6538.4</v>
      </c>
      <c r="O25" s="368">
        <f>+'2nd Year CF'!F27</f>
        <v>7518.200000000001</v>
      </c>
      <c r="P25" s="368">
        <f>+'3rd Year CF'!F27</f>
        <v>8482.8</v>
      </c>
      <c r="Q25" s="368">
        <f>+'4th Year CF'!B27</f>
        <v>10272</v>
      </c>
      <c r="R25" s="369">
        <f>+'5th Year CF'!B27</f>
        <v>11477.530000000006</v>
      </c>
    </row>
    <row r="26" spans="1:18" ht="12.75">
      <c r="A26" s="310" t="s">
        <v>136</v>
      </c>
      <c r="B26" s="367">
        <f>'1st year Cash Flow'!B27</f>
        <v>643</v>
      </c>
      <c r="C26" s="367">
        <f>'1st year Cash Flow'!C27</f>
        <v>647</v>
      </c>
      <c r="D26" s="367">
        <f>'1st year Cash Flow'!D27</f>
        <v>651</v>
      </c>
      <c r="E26" s="367">
        <f>'1st year Cash Flow'!E27</f>
        <v>655</v>
      </c>
      <c r="F26" s="367">
        <f>'1st year Cash Flow'!F27</f>
        <v>660</v>
      </c>
      <c r="G26" s="367">
        <f>'1st year Cash Flow'!G27</f>
        <v>664</v>
      </c>
      <c r="H26" s="367">
        <f>'1st year Cash Flow'!H27</f>
        <v>669</v>
      </c>
      <c r="I26" s="367">
        <f>'1st year Cash Flow'!I27</f>
        <v>673</v>
      </c>
      <c r="J26" s="367">
        <f>'1st year Cash Flow'!J27</f>
        <v>678</v>
      </c>
      <c r="K26" s="367">
        <f>'1st year Cash Flow'!K27</f>
        <v>682</v>
      </c>
      <c r="L26" s="367">
        <f>'1st year Cash Flow'!L27</f>
        <v>687</v>
      </c>
      <c r="M26" s="367">
        <f>'1st year Cash Flow'!M27</f>
        <v>691</v>
      </c>
      <c r="N26" s="368">
        <f>'1st year Cash Flow'!N27</f>
        <v>8000</v>
      </c>
      <c r="O26" s="368">
        <f>'2nd Year CF'!F28</f>
        <v>8664</v>
      </c>
      <c r="P26" s="368">
        <f>'3rd Year CF'!F28</f>
        <v>9383</v>
      </c>
      <c r="Q26" s="368">
        <f>'4th Year CF'!B28</f>
        <v>10161</v>
      </c>
      <c r="R26" s="369">
        <f>'5th Year CF'!B28</f>
        <v>11006</v>
      </c>
    </row>
    <row r="27" spans="1:18" ht="12.75">
      <c r="A27" s="310" t="s">
        <v>137</v>
      </c>
      <c r="B27" s="367">
        <f>'1st year Cash Flow'!B28</f>
        <v>480</v>
      </c>
      <c r="C27" s="367">
        <f>'1st year Cash Flow'!C28</f>
        <v>476</v>
      </c>
      <c r="D27" s="367">
        <f>'1st year Cash Flow'!D28</f>
        <v>472</v>
      </c>
      <c r="E27" s="367">
        <f>'1st year Cash Flow'!E28</f>
        <v>468</v>
      </c>
      <c r="F27" s="367">
        <f>'1st year Cash Flow'!F28</f>
        <v>463</v>
      </c>
      <c r="G27" s="367">
        <f>'1st year Cash Flow'!G28</f>
        <v>459</v>
      </c>
      <c r="H27" s="367">
        <f>'1st year Cash Flow'!H28</f>
        <v>454</v>
      </c>
      <c r="I27" s="367">
        <f>'1st year Cash Flow'!I28</f>
        <v>450</v>
      </c>
      <c r="J27" s="367">
        <f>'1st year Cash Flow'!J28</f>
        <v>445</v>
      </c>
      <c r="K27" s="367">
        <f>'1st year Cash Flow'!K28</f>
        <v>441</v>
      </c>
      <c r="L27" s="367">
        <f>'1st year Cash Flow'!L28</f>
        <v>436</v>
      </c>
      <c r="M27" s="367">
        <f>'1st year Cash Flow'!M28</f>
        <v>432</v>
      </c>
      <c r="N27" s="368">
        <f>'1st year Cash Flow'!N28</f>
        <v>5476</v>
      </c>
      <c r="O27" s="368">
        <f>'2nd Year CF'!F29</f>
        <v>4812</v>
      </c>
      <c r="P27" s="368">
        <f>'3rd Year CF'!F29</f>
        <v>4124</v>
      </c>
      <c r="Q27" s="368">
        <f>'4th Year CF'!B29</f>
        <v>3315</v>
      </c>
      <c r="R27" s="369">
        <f>'5th Year CF'!B29</f>
        <v>2470</v>
      </c>
    </row>
    <row r="28" spans="1:18" ht="12.75">
      <c r="A28" s="310" t="s">
        <v>167</v>
      </c>
      <c r="B28" s="367">
        <f>'1st year Cash Flow'!B29</f>
        <v>0</v>
      </c>
      <c r="C28" s="367">
        <f>'1st year Cash Flow'!C29</f>
        <v>0</v>
      </c>
      <c r="D28" s="367">
        <f>'1st year Cash Flow'!D29</f>
        <v>0</v>
      </c>
      <c r="E28" s="367">
        <f>'1st year Cash Flow'!E29</f>
        <v>0</v>
      </c>
      <c r="F28" s="367">
        <f>'1st year Cash Flow'!F29</f>
        <v>0</v>
      </c>
      <c r="G28" s="367">
        <f>'1st year Cash Flow'!G29</f>
        <v>0</v>
      </c>
      <c r="H28" s="367">
        <f>'1st year Cash Flow'!H29</f>
        <v>0</v>
      </c>
      <c r="I28" s="367">
        <f>'1st year Cash Flow'!I29</f>
        <v>0</v>
      </c>
      <c r="J28" s="367">
        <f>'1st year Cash Flow'!J29</f>
        <v>0</v>
      </c>
      <c r="K28" s="367">
        <f>'1st year Cash Flow'!K29</f>
        <v>0</v>
      </c>
      <c r="L28" s="367">
        <f>'1st year Cash Flow'!L29</f>
        <v>0</v>
      </c>
      <c r="M28" s="367">
        <f>'1st year Cash Flow'!M29</f>
        <v>0</v>
      </c>
      <c r="N28" s="368">
        <f>'1st year Cash Flow'!N29</f>
        <v>0</v>
      </c>
      <c r="O28" s="368">
        <f>+'2nd Year CF'!F30</f>
        <v>0</v>
      </c>
      <c r="P28" s="368">
        <f>+'3rd Year CF'!F30</f>
        <v>0</v>
      </c>
      <c r="Q28" s="368">
        <f>+'4th Year CF'!B30</f>
        <v>0</v>
      </c>
      <c r="R28" s="369">
        <f>+'5th Year CF'!B30</f>
        <v>0</v>
      </c>
    </row>
    <row r="29" spans="1:18" ht="12.75">
      <c r="A29" s="310" t="s">
        <v>201</v>
      </c>
      <c r="B29" s="367">
        <f>'1st year Cash Flow'!B31</f>
        <v>0</v>
      </c>
      <c r="C29" s="367">
        <f>'1st year Cash Flow'!C31</f>
        <v>0</v>
      </c>
      <c r="D29" s="367">
        <f>'1st year Cash Flow'!D31</f>
        <v>0</v>
      </c>
      <c r="E29" s="367">
        <f>'1st year Cash Flow'!E31</f>
        <v>0</v>
      </c>
      <c r="F29" s="367">
        <f>'1st year Cash Flow'!F31</f>
        <v>0</v>
      </c>
      <c r="G29" s="367">
        <f>'1st year Cash Flow'!G31</f>
        <v>0</v>
      </c>
      <c r="H29" s="367">
        <f>'1st year Cash Flow'!H31</f>
        <v>0</v>
      </c>
      <c r="I29" s="367">
        <f>'1st year Cash Flow'!I31</f>
        <v>0</v>
      </c>
      <c r="J29" s="367">
        <f>'1st year Cash Flow'!J31</f>
        <v>0</v>
      </c>
      <c r="K29" s="367">
        <f>'1st year Cash Flow'!K31</f>
        <v>0</v>
      </c>
      <c r="L29" s="367">
        <f>'1st year Cash Flow'!L31</f>
        <v>0</v>
      </c>
      <c r="M29" s="367">
        <f>'1st year Cash Flow'!M31</f>
        <v>0</v>
      </c>
      <c r="N29" s="368">
        <f>'1st year Cash Flow'!N31</f>
        <v>0</v>
      </c>
      <c r="O29" s="368">
        <f>+'2nd Year CF'!F32</f>
        <v>0</v>
      </c>
      <c r="P29" s="368">
        <f>+'3rd Year CF'!F32</f>
        <v>0</v>
      </c>
      <c r="Q29" s="368">
        <f>+'4th Year CF'!B32</f>
        <v>0</v>
      </c>
      <c r="R29" s="369">
        <f>+'5th Year CF'!B32</f>
        <v>0</v>
      </c>
    </row>
    <row r="30" spans="1:18" ht="12.75">
      <c r="A30" s="310" t="str">
        <f>'1st year Cash Flow'!A32</f>
        <v>Owners Draw</v>
      </c>
      <c r="B30" s="367">
        <f>'1st year Cash Flow'!B32</f>
        <v>1000</v>
      </c>
      <c r="C30" s="367">
        <f>'1st year Cash Flow'!C32</f>
        <v>1000</v>
      </c>
      <c r="D30" s="367">
        <f>'1st year Cash Flow'!D32</f>
        <v>1000</v>
      </c>
      <c r="E30" s="367">
        <f>'1st year Cash Flow'!E32</f>
        <v>1000</v>
      </c>
      <c r="F30" s="367">
        <f>'1st year Cash Flow'!F32</f>
        <v>1000</v>
      </c>
      <c r="G30" s="367">
        <f>'1st year Cash Flow'!G32</f>
        <v>1000</v>
      </c>
      <c r="H30" s="367">
        <f>'1st year Cash Flow'!H32</f>
        <v>1000</v>
      </c>
      <c r="I30" s="367">
        <f>'1st year Cash Flow'!I32</f>
        <v>1000</v>
      </c>
      <c r="J30" s="367">
        <f>'1st year Cash Flow'!J32</f>
        <v>1000</v>
      </c>
      <c r="K30" s="367">
        <f>'1st year Cash Flow'!K32</f>
        <v>1000</v>
      </c>
      <c r="L30" s="367">
        <f>'1st year Cash Flow'!L32</f>
        <v>1000</v>
      </c>
      <c r="M30" s="367">
        <f>'1st year Cash Flow'!M32</f>
        <v>1000</v>
      </c>
      <c r="N30" s="368">
        <f>'1st year Cash Flow'!N32</f>
        <v>12000</v>
      </c>
      <c r="O30" s="368">
        <f>+'2nd Year CF'!F33</f>
        <v>18000</v>
      </c>
      <c r="P30" s="368">
        <f>+'3rd Year CF'!F33</f>
        <v>18000</v>
      </c>
      <c r="Q30" s="368">
        <f>+'4th Year CF'!B33</f>
        <v>26000</v>
      </c>
      <c r="R30" s="369">
        <f>+'5th Year CF'!B33</f>
        <v>30000</v>
      </c>
    </row>
    <row r="31" spans="1:18" ht="12.75">
      <c r="A31" s="311" t="str">
        <f>'1st year Cash Flow'!A33</f>
        <v>TOTAL CASH OUTFLOWS</v>
      </c>
      <c r="B31" s="370">
        <f>'1st year Cash Flow'!B33</f>
        <v>16474.2</v>
      </c>
      <c r="C31" s="370">
        <f>'1st year Cash Flow'!C33</f>
        <v>16475</v>
      </c>
      <c r="D31" s="370">
        <f>'1st year Cash Flow'!D33</f>
        <v>16475.8</v>
      </c>
      <c r="E31" s="370">
        <f>'1st year Cash Flow'!E33</f>
        <v>16476.6</v>
      </c>
      <c r="F31" s="370">
        <f>'1st year Cash Flow'!F33</f>
        <v>16477.6</v>
      </c>
      <c r="G31" s="370">
        <f>'1st year Cash Flow'!G33</f>
        <v>16478.4</v>
      </c>
      <c r="H31" s="370">
        <f>'1st year Cash Flow'!H33</f>
        <v>16479.4</v>
      </c>
      <c r="I31" s="370">
        <f>'1st year Cash Flow'!I33</f>
        <v>16480.2</v>
      </c>
      <c r="J31" s="370">
        <f>'1st year Cash Flow'!J33</f>
        <v>16481.2</v>
      </c>
      <c r="K31" s="370">
        <f>'1st year Cash Flow'!K33</f>
        <v>16482</v>
      </c>
      <c r="L31" s="370">
        <f>'1st year Cash Flow'!L33</f>
        <v>16483</v>
      </c>
      <c r="M31" s="370">
        <f>'1st year Cash Flow'!M33</f>
        <v>16487</v>
      </c>
      <c r="N31" s="371">
        <f>'1st year Cash Flow'!N33</f>
        <v>197750.40000000002</v>
      </c>
      <c r="O31" s="371">
        <f>'2nd Year CF'!F34</f>
        <v>210091.94166666668</v>
      </c>
      <c r="P31" s="371">
        <f>'3rd Year CF'!F34</f>
        <v>219335.16666666666</v>
      </c>
      <c r="Q31" s="371">
        <f>'4th Year CF'!B34</f>
        <v>232805.49375</v>
      </c>
      <c r="R31" s="372">
        <f>'5th Year CF'!B34</f>
        <v>245270.0195833333</v>
      </c>
    </row>
    <row r="32" spans="1:18" ht="13.5" thickBot="1">
      <c r="A32" s="312" t="str">
        <f>'1st year Cash Flow'!A34</f>
        <v>NET CASH FLOW</v>
      </c>
      <c r="B32" s="373">
        <f>'1st year Cash Flow'!B34</f>
        <v>1442.7999999999993</v>
      </c>
      <c r="C32" s="373">
        <f>'1st year Cash Flow'!C34</f>
        <v>1442</v>
      </c>
      <c r="D32" s="373">
        <f>'1st year Cash Flow'!D34</f>
        <v>1441.2000000000007</v>
      </c>
      <c r="E32" s="373">
        <f>'1st year Cash Flow'!E34</f>
        <v>1440.4000000000015</v>
      </c>
      <c r="F32" s="373">
        <f>'1st year Cash Flow'!F34</f>
        <v>1439.4000000000015</v>
      </c>
      <c r="G32" s="373">
        <f>'1st year Cash Flow'!G34</f>
        <v>1438.5999999999985</v>
      </c>
      <c r="H32" s="373">
        <f>'1st year Cash Flow'!H34</f>
        <v>1437.5999999999985</v>
      </c>
      <c r="I32" s="373">
        <f>'1st year Cash Flow'!I34</f>
        <v>1436.7999999999993</v>
      </c>
      <c r="J32" s="373">
        <f>'1st year Cash Flow'!J34</f>
        <v>1435.7999999999993</v>
      </c>
      <c r="K32" s="373">
        <f>'1st year Cash Flow'!K34</f>
        <v>1435</v>
      </c>
      <c r="L32" s="373">
        <f>'1st year Cash Flow'!L34</f>
        <v>1434</v>
      </c>
      <c r="M32" s="373">
        <f>'1st year Cash Flow'!M34</f>
        <v>1430</v>
      </c>
      <c r="N32" s="374">
        <f>'1st year Cash Flow'!N34</f>
        <v>17253.599999999977</v>
      </c>
      <c r="O32" s="374">
        <f>'2nd Year CF'!F35</f>
        <v>15661.05833333332</v>
      </c>
      <c r="P32" s="374">
        <f>'3rd Year CF'!F35</f>
        <v>17705.833333333343</v>
      </c>
      <c r="Q32" s="374">
        <f>'4th Year CF'!B35</f>
        <v>16087.506250000006</v>
      </c>
      <c r="R32" s="375">
        <f>'5th Year CF'!B35</f>
        <v>16067.63041666671</v>
      </c>
    </row>
    <row r="33" spans="1:18" ht="13.5" thickTop="1">
      <c r="A33" s="310"/>
      <c r="B33" s="367"/>
      <c r="C33" s="367"/>
      <c r="D33" s="367"/>
      <c r="E33" s="367"/>
      <c r="F33" s="367"/>
      <c r="G33" s="367"/>
      <c r="H33" s="367"/>
      <c r="I33" s="367"/>
      <c r="J33" s="367"/>
      <c r="K33" s="367"/>
      <c r="L33" s="367"/>
      <c r="M33" s="367"/>
      <c r="N33" s="368" t="s">
        <v>93</v>
      </c>
      <c r="O33" s="368"/>
      <c r="P33" s="368"/>
      <c r="Q33" s="368"/>
      <c r="R33" s="369"/>
    </row>
    <row r="34" spans="1:18" ht="12.75">
      <c r="A34" s="310" t="s">
        <v>139</v>
      </c>
      <c r="B34" s="367">
        <f>'1st year Cash Flow'!B36</f>
        <v>20000</v>
      </c>
      <c r="C34" s="367">
        <f>'1st year Cash Flow'!C36</f>
        <v>21442.8</v>
      </c>
      <c r="D34" s="367">
        <f>'1st year Cash Flow'!D36</f>
        <v>22884.800000000003</v>
      </c>
      <c r="E34" s="367">
        <f>'1st year Cash Flow'!E36</f>
        <v>24326.000000000004</v>
      </c>
      <c r="F34" s="367">
        <f>'1st year Cash Flow'!F36</f>
        <v>25766.4</v>
      </c>
      <c r="G34" s="367">
        <f>'1st year Cash Flow'!G36</f>
        <v>27205.800000000003</v>
      </c>
      <c r="H34" s="367">
        <f>'1st year Cash Flow'!H36</f>
        <v>28644.4</v>
      </c>
      <c r="I34" s="367">
        <f>'1st year Cash Flow'!I36</f>
        <v>30082</v>
      </c>
      <c r="J34" s="367">
        <f>'1st year Cash Flow'!J36</f>
        <v>31518.8</v>
      </c>
      <c r="K34" s="367">
        <f>'1st year Cash Flow'!K36</f>
        <v>32954.600000000006</v>
      </c>
      <c r="L34" s="367">
        <f>'1st year Cash Flow'!L36</f>
        <v>34389.600000000006</v>
      </c>
      <c r="M34" s="367">
        <f>'1st year Cash Flow'!M36</f>
        <v>35823.600000000006</v>
      </c>
      <c r="N34" s="368">
        <f>'1st year Cash Flow'!N36</f>
        <v>20000</v>
      </c>
      <c r="O34" s="368">
        <f>'2nd Year CF'!F37</f>
        <v>37253.59999999998</v>
      </c>
      <c r="P34" s="368">
        <f>'3rd Year CF'!F37</f>
        <v>52914.6583333333</v>
      </c>
      <c r="Q34" s="368">
        <f>'4th Year CF'!B37</f>
        <v>70620.49166666664</v>
      </c>
      <c r="R34" s="369">
        <f>'5th Year CF'!B37</f>
        <v>86708</v>
      </c>
    </row>
    <row r="35" spans="1:18" ht="12.75">
      <c r="A35" s="310" t="str">
        <f>'1st year Cash Flow'!A37</f>
        <v>Cash Receipts</v>
      </c>
      <c r="B35" s="367">
        <f>'1st year Cash Flow'!B37</f>
        <v>17917</v>
      </c>
      <c r="C35" s="367">
        <f>'1st year Cash Flow'!C37</f>
        <v>17917</v>
      </c>
      <c r="D35" s="367">
        <f>'1st year Cash Flow'!D37</f>
        <v>17917</v>
      </c>
      <c r="E35" s="367">
        <f>'1st year Cash Flow'!E37</f>
        <v>17917</v>
      </c>
      <c r="F35" s="367">
        <f>'1st year Cash Flow'!F37</f>
        <v>17917</v>
      </c>
      <c r="G35" s="367">
        <f>'1st year Cash Flow'!G37</f>
        <v>17917</v>
      </c>
      <c r="H35" s="367">
        <f>'1st year Cash Flow'!H37</f>
        <v>17917</v>
      </c>
      <c r="I35" s="367">
        <f>'1st year Cash Flow'!I37</f>
        <v>17917</v>
      </c>
      <c r="J35" s="367">
        <f>'1st year Cash Flow'!J37</f>
        <v>17917</v>
      </c>
      <c r="K35" s="367">
        <f>'1st year Cash Flow'!K37</f>
        <v>17917</v>
      </c>
      <c r="L35" s="367">
        <f>'1st year Cash Flow'!L37</f>
        <v>17917</v>
      </c>
      <c r="M35" s="367">
        <f>'1st year Cash Flow'!M37</f>
        <v>17917</v>
      </c>
      <c r="N35" s="368">
        <f>'1st year Cash Flow'!N37</f>
        <v>215004</v>
      </c>
      <c r="O35" s="368">
        <f>'2nd Year CF'!F38</f>
        <v>225753</v>
      </c>
      <c r="P35" s="368">
        <f>'3rd Year CF'!F38</f>
        <v>237041</v>
      </c>
      <c r="Q35" s="368">
        <f>'4th Year CF'!B38</f>
        <v>248893</v>
      </c>
      <c r="R35" s="369">
        <f>'5th Year CF'!B38</f>
        <v>261337.65000000002</v>
      </c>
    </row>
    <row r="36" spans="1:18" ht="12.75">
      <c r="A36" s="310" t="str">
        <f>'1st year Cash Flow'!A38</f>
        <v>Cash Outflows</v>
      </c>
      <c r="B36" s="367">
        <f>'1st year Cash Flow'!B38</f>
        <v>16474.2</v>
      </c>
      <c r="C36" s="367">
        <f>'1st year Cash Flow'!C38</f>
        <v>16475</v>
      </c>
      <c r="D36" s="367">
        <f>'1st year Cash Flow'!D38</f>
        <v>16475.8</v>
      </c>
      <c r="E36" s="367">
        <f>'1st year Cash Flow'!E38</f>
        <v>16476.6</v>
      </c>
      <c r="F36" s="367">
        <f>'1st year Cash Flow'!F38</f>
        <v>16477.6</v>
      </c>
      <c r="G36" s="367">
        <f>'1st year Cash Flow'!G38</f>
        <v>16478.4</v>
      </c>
      <c r="H36" s="367">
        <f>'1st year Cash Flow'!H38</f>
        <v>16479.4</v>
      </c>
      <c r="I36" s="367">
        <f>'1st year Cash Flow'!I38</f>
        <v>16480.2</v>
      </c>
      <c r="J36" s="367">
        <f>'1st year Cash Flow'!J38</f>
        <v>16481.2</v>
      </c>
      <c r="K36" s="367">
        <f>'1st year Cash Flow'!K38</f>
        <v>16482</v>
      </c>
      <c r="L36" s="367">
        <f>'1st year Cash Flow'!L38</f>
        <v>16483</v>
      </c>
      <c r="M36" s="367">
        <f>'1st year Cash Flow'!M38</f>
        <v>16487</v>
      </c>
      <c r="N36" s="368">
        <f>'1st year Cash Flow'!N38</f>
        <v>197750.40000000002</v>
      </c>
      <c r="O36" s="368">
        <f>'2nd Year CF'!F39</f>
        <v>210091.94166666668</v>
      </c>
      <c r="P36" s="368">
        <f>'3rd Year CF'!F39</f>
        <v>219335.16666666666</v>
      </c>
      <c r="Q36" s="368">
        <f>'4th Year CF'!B39</f>
        <v>232805.49375</v>
      </c>
      <c r="R36" s="369">
        <f>'5th Year CF'!B39</f>
        <v>245270.0195833333</v>
      </c>
    </row>
    <row r="37" spans="1:18" ht="13.5" thickBot="1">
      <c r="A37" s="313" t="s">
        <v>138</v>
      </c>
      <c r="B37" s="376">
        <f>'1st year Cash Flow'!B39</f>
        <v>21442.8</v>
      </c>
      <c r="C37" s="376">
        <f>'1st year Cash Flow'!C39</f>
        <v>22884.800000000003</v>
      </c>
      <c r="D37" s="376">
        <f>'1st year Cash Flow'!D39</f>
        <v>24326.000000000004</v>
      </c>
      <c r="E37" s="376">
        <f>'1st year Cash Flow'!E39</f>
        <v>25766.4</v>
      </c>
      <c r="F37" s="376">
        <f>'1st year Cash Flow'!F39</f>
        <v>27205.800000000003</v>
      </c>
      <c r="G37" s="376">
        <f>'1st year Cash Flow'!G39</f>
        <v>28644.4</v>
      </c>
      <c r="H37" s="376">
        <f>'1st year Cash Flow'!H39</f>
        <v>30082</v>
      </c>
      <c r="I37" s="376">
        <f>'1st year Cash Flow'!I39</f>
        <v>31518.8</v>
      </c>
      <c r="J37" s="376">
        <f>'1st year Cash Flow'!J39</f>
        <v>32954.600000000006</v>
      </c>
      <c r="K37" s="376">
        <f>'1st year Cash Flow'!K39</f>
        <v>34389.600000000006</v>
      </c>
      <c r="L37" s="376">
        <f>'1st year Cash Flow'!L39</f>
        <v>35823.600000000006</v>
      </c>
      <c r="M37" s="376">
        <f>'1st year Cash Flow'!M39</f>
        <v>37253.600000000006</v>
      </c>
      <c r="N37" s="377">
        <f>'1st year Cash Flow'!N39</f>
        <v>37253.59999999998</v>
      </c>
      <c r="O37" s="377">
        <f>'2nd Year CF'!F40</f>
        <v>52914.6583333333</v>
      </c>
      <c r="P37" s="377">
        <f>'3rd Year CF'!F40</f>
        <v>70620.49166666667</v>
      </c>
      <c r="Q37" s="377">
        <f>'4th Year CF'!B40</f>
        <v>86707.99791666665</v>
      </c>
      <c r="R37" s="378">
        <f>'5th Year CF'!B40</f>
        <v>102775.63041666671</v>
      </c>
    </row>
    <row r="38" spans="1:18" ht="13.5" thickTop="1">
      <c r="A38" s="314"/>
      <c r="B38" s="314"/>
      <c r="C38" s="314"/>
      <c r="D38" s="314"/>
      <c r="E38" s="314"/>
      <c r="F38" s="314"/>
      <c r="G38" s="314"/>
      <c r="H38" s="314"/>
      <c r="I38" s="314"/>
      <c r="J38" s="314"/>
      <c r="K38" s="314"/>
      <c r="L38" s="314"/>
      <c r="M38" s="314"/>
      <c r="N38" s="314"/>
      <c r="O38" s="314"/>
      <c r="P38" s="314"/>
      <c r="Q38" s="314"/>
      <c r="R38" s="314"/>
    </row>
  </sheetData>
  <mergeCells count="4">
    <mergeCell ref="B4:C4"/>
    <mergeCell ref="A1:R1"/>
    <mergeCell ref="A2:R2"/>
    <mergeCell ref="A3:R3"/>
  </mergeCells>
  <printOptions horizontalCentered="1" verticalCentered="1"/>
  <pageMargins left="0.56" right="0.5" top="0.5"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2.xml><?xml version="1.0" encoding="utf-8"?>
<worksheet xmlns="http://schemas.openxmlformats.org/spreadsheetml/2006/main" xmlns:r="http://schemas.openxmlformats.org/officeDocument/2006/relationships">
  <sheetPr codeName="Sheet20">
    <pageSetUpPr fitToPage="1"/>
  </sheetPr>
  <dimension ref="A1:AA64"/>
  <sheetViews>
    <sheetView workbookViewId="0" topLeftCell="K22">
      <selection activeCell="R32" sqref="A1:R32"/>
    </sheetView>
  </sheetViews>
  <sheetFormatPr defaultColWidth="9.140625" defaultRowHeight="12.75"/>
  <cols>
    <col min="1" max="1" width="14.7109375" style="0" customWidth="1"/>
    <col min="2" max="5" width="6.8515625" style="0" customWidth="1"/>
    <col min="6" max="7" width="6.8515625" style="0" bestFit="1" customWidth="1"/>
    <col min="8" max="8" width="6.8515625" style="0" customWidth="1"/>
    <col min="9" max="10" width="6.8515625" style="0" bestFit="1" customWidth="1"/>
    <col min="11" max="11" width="6.8515625" style="0" customWidth="1"/>
    <col min="12" max="13" width="6.8515625" style="0" bestFit="1" customWidth="1"/>
    <col min="14" max="18" width="6.8515625" style="0" customWidth="1"/>
  </cols>
  <sheetData>
    <row r="1" spans="1:18" ht="15.75">
      <c r="A1" s="421" t="str">
        <f>'5th Year IS'!A1:B1</f>
        <v>Speedy B's LLC - NEW</v>
      </c>
      <c r="B1" s="422"/>
      <c r="C1" s="422"/>
      <c r="D1" s="422"/>
      <c r="E1" s="422"/>
      <c r="F1" s="422"/>
      <c r="G1" s="422"/>
      <c r="H1" s="422"/>
      <c r="I1" s="422"/>
      <c r="J1" s="422"/>
      <c r="K1" s="422"/>
      <c r="L1" s="422"/>
      <c r="M1" s="422"/>
      <c r="N1" s="422"/>
      <c r="O1" s="422"/>
      <c r="P1" s="422"/>
      <c r="Q1" s="422"/>
      <c r="R1" s="423"/>
    </row>
    <row r="2" spans="1:18" ht="15.75">
      <c r="A2" s="452" t="str">
        <f>'5th Year IS'!A2:B2</f>
        <v>Income Statement</v>
      </c>
      <c r="B2" s="453"/>
      <c r="C2" s="453"/>
      <c r="D2" s="453"/>
      <c r="E2" s="453"/>
      <c r="F2" s="453"/>
      <c r="G2" s="453"/>
      <c r="H2" s="453"/>
      <c r="I2" s="453"/>
      <c r="J2" s="453"/>
      <c r="K2" s="453"/>
      <c r="L2" s="453"/>
      <c r="M2" s="453"/>
      <c r="N2" s="453"/>
      <c r="O2" s="453"/>
      <c r="P2" s="453"/>
      <c r="Q2" s="453"/>
      <c r="R2" s="454"/>
    </row>
    <row r="3" spans="1:18" ht="15.75">
      <c r="A3" s="427" t="str">
        <f>+'CF consol'!A3:R3</f>
        <v>For Year Ending</v>
      </c>
      <c r="B3" s="428"/>
      <c r="C3" s="428"/>
      <c r="D3" s="428"/>
      <c r="E3" s="428"/>
      <c r="F3" s="428"/>
      <c r="G3" s="428"/>
      <c r="H3" s="428"/>
      <c r="I3" s="428"/>
      <c r="J3" s="428"/>
      <c r="K3" s="428"/>
      <c r="L3" s="428"/>
      <c r="M3" s="428"/>
      <c r="N3" s="445"/>
      <c r="O3" s="445"/>
      <c r="P3" s="445"/>
      <c r="Q3" s="445"/>
      <c r="R3" s="446"/>
    </row>
    <row r="4" spans="1:18" ht="12.75">
      <c r="A4" s="320"/>
      <c r="B4" s="458" t="s">
        <v>93</v>
      </c>
      <c r="C4" s="458"/>
      <c r="D4" s="318"/>
      <c r="E4" s="318"/>
      <c r="F4" s="318"/>
      <c r="G4" s="318"/>
      <c r="H4" s="318"/>
      <c r="I4" s="318"/>
      <c r="J4" s="318"/>
      <c r="K4" s="318"/>
      <c r="L4" s="318"/>
      <c r="M4" s="318"/>
      <c r="N4" s="298">
        <f>+'CF consol'!N4</f>
        <v>39325</v>
      </c>
      <c r="O4" s="298">
        <f>'2nd Year IS'!$A$4</f>
        <v>39691</v>
      </c>
      <c r="P4" s="298">
        <f>'3rd Year IS'!$A$4</f>
        <v>40056</v>
      </c>
      <c r="Q4" s="298">
        <f>'4th Year IS'!$A$4</f>
        <v>40421</v>
      </c>
      <c r="R4" s="298">
        <f>'5th Year IS'!$A$4</f>
        <v>40786</v>
      </c>
    </row>
    <row r="5" spans="1:18" ht="12.75">
      <c r="A5" s="321"/>
      <c r="B5" s="250">
        <f>+'CF consol'!B5</f>
        <v>38990</v>
      </c>
      <c r="C5" s="250">
        <f>+'CF consol'!C5</f>
        <v>39021</v>
      </c>
      <c r="D5" s="250">
        <f>+'CF consol'!D5</f>
        <v>39051</v>
      </c>
      <c r="E5" s="250">
        <f>+'CF consol'!E5</f>
        <v>39082</v>
      </c>
      <c r="F5" s="250">
        <f>+'CF consol'!F5</f>
        <v>39113</v>
      </c>
      <c r="G5" s="250">
        <f>+'CF consol'!G5</f>
        <v>39141</v>
      </c>
      <c r="H5" s="250">
        <f>+'CF consol'!H5</f>
        <v>39172</v>
      </c>
      <c r="I5" s="250">
        <f>+'CF consol'!I5</f>
        <v>39202</v>
      </c>
      <c r="J5" s="250">
        <f>+'CF consol'!J5</f>
        <v>39233</v>
      </c>
      <c r="K5" s="250">
        <f>+'CF consol'!K5</f>
        <v>39263</v>
      </c>
      <c r="L5" s="250">
        <f>+'CF consol'!L5</f>
        <v>39294</v>
      </c>
      <c r="M5" s="250">
        <f>+'CF consol'!M5</f>
        <v>39325</v>
      </c>
      <c r="N5" s="322"/>
      <c r="O5" s="319"/>
      <c r="P5" s="319"/>
      <c r="Q5" s="319"/>
      <c r="R5" s="319"/>
    </row>
    <row r="6" spans="1:18" ht="12.75">
      <c r="A6" s="323" t="str">
        <f>'5th Year IS'!A7:B7</f>
        <v>Gross Sales</v>
      </c>
      <c r="B6" s="367">
        <f>'1st year Income stmt'!B6</f>
        <v>17917</v>
      </c>
      <c r="C6" s="367">
        <f>'1st year Income stmt'!C6</f>
        <v>17917</v>
      </c>
      <c r="D6" s="367">
        <f>'1st year Income stmt'!D6</f>
        <v>17917</v>
      </c>
      <c r="E6" s="367">
        <f>'1st year Income stmt'!E6</f>
        <v>17917</v>
      </c>
      <c r="F6" s="367">
        <f>'1st year Income stmt'!F6</f>
        <v>17917</v>
      </c>
      <c r="G6" s="367">
        <f>'1st year Income stmt'!G6</f>
        <v>17917</v>
      </c>
      <c r="H6" s="367">
        <f>'1st year Income stmt'!H6</f>
        <v>17917</v>
      </c>
      <c r="I6" s="367">
        <f>'1st year Income stmt'!I6</f>
        <v>17917</v>
      </c>
      <c r="J6" s="367">
        <f>'1st year Income stmt'!J6</f>
        <v>17917</v>
      </c>
      <c r="K6" s="367">
        <f>'1st year Income stmt'!K6</f>
        <v>17917</v>
      </c>
      <c r="L6" s="367">
        <f>'1st year Income stmt'!L6</f>
        <v>17917</v>
      </c>
      <c r="M6" s="367">
        <f>'1st year Income stmt'!M6</f>
        <v>17917</v>
      </c>
      <c r="N6" s="368">
        <f>'1st year Income stmt'!N6</f>
        <v>215004</v>
      </c>
      <c r="O6" s="368">
        <f>'2nd Year IS'!$F7</f>
        <v>225753</v>
      </c>
      <c r="P6" s="368">
        <f>'3rd Year IS'!F7</f>
        <v>237041</v>
      </c>
      <c r="Q6" s="368">
        <f>'4th Year IS'!B7</f>
        <v>248893</v>
      </c>
      <c r="R6" s="368">
        <f>'5th Year IS'!B7</f>
        <v>261337.65000000002</v>
      </c>
    </row>
    <row r="7" spans="1:18" ht="12.75">
      <c r="A7" s="324" t="s">
        <v>149</v>
      </c>
      <c r="B7" s="367">
        <f>'1st year Income stmt'!B7</f>
        <v>0</v>
      </c>
      <c r="C7" s="367">
        <f>'1st year Income stmt'!C7</f>
        <v>0</v>
      </c>
      <c r="D7" s="367">
        <f>'1st year Income stmt'!D7</f>
        <v>0</v>
      </c>
      <c r="E7" s="367">
        <f>'1st year Income stmt'!E7</f>
        <v>0</v>
      </c>
      <c r="F7" s="367">
        <f>'1st year Income stmt'!F7</f>
        <v>0</v>
      </c>
      <c r="G7" s="367">
        <f>'1st year Income stmt'!G7</f>
        <v>0</v>
      </c>
      <c r="H7" s="367">
        <f>'1st year Income stmt'!H7</f>
        <v>0</v>
      </c>
      <c r="I7" s="367">
        <f>'1st year Income stmt'!I7</f>
        <v>0</v>
      </c>
      <c r="J7" s="367">
        <f>'1st year Income stmt'!J7</f>
        <v>0</v>
      </c>
      <c r="K7" s="367">
        <f>'1st year Income stmt'!K7</f>
        <v>0</v>
      </c>
      <c r="L7" s="367">
        <f>'1st year Income stmt'!L7</f>
        <v>0</v>
      </c>
      <c r="M7" s="367">
        <f>'1st year Income stmt'!M7</f>
        <v>0</v>
      </c>
      <c r="N7" s="368">
        <f>'1st year Income stmt'!N7</f>
        <v>0</v>
      </c>
      <c r="O7" s="368">
        <f>'2nd Year IS'!$F8</f>
        <v>0</v>
      </c>
      <c r="P7" s="368">
        <f>'3rd Year IS'!F8</f>
        <v>0</v>
      </c>
      <c r="Q7" s="368">
        <f>'4th Year IS'!B8</f>
        <v>0</v>
      </c>
      <c r="R7" s="368">
        <f>'5th Year IS'!B8</f>
        <v>0</v>
      </c>
    </row>
    <row r="8" spans="1:18" ht="12.75">
      <c r="A8" s="324" t="str">
        <f>'5th Year IS'!A9:B9</f>
        <v>      Net Sales</v>
      </c>
      <c r="B8" s="367">
        <f>'1st year Income stmt'!B8</f>
        <v>17917</v>
      </c>
      <c r="C8" s="367">
        <f>'1st year Income stmt'!C8</f>
        <v>17917</v>
      </c>
      <c r="D8" s="367">
        <f>'1st year Income stmt'!D8</f>
        <v>17917</v>
      </c>
      <c r="E8" s="367">
        <f>'1st year Income stmt'!E8</f>
        <v>17917</v>
      </c>
      <c r="F8" s="367">
        <f>'1st year Income stmt'!F8</f>
        <v>17917</v>
      </c>
      <c r="G8" s="367">
        <f>'1st year Income stmt'!G8</f>
        <v>17917</v>
      </c>
      <c r="H8" s="367">
        <f>'1st year Income stmt'!H8</f>
        <v>17917</v>
      </c>
      <c r="I8" s="367">
        <f>'1st year Income stmt'!I8</f>
        <v>17917</v>
      </c>
      <c r="J8" s="367">
        <f>'1st year Income stmt'!J8</f>
        <v>17917</v>
      </c>
      <c r="K8" s="367">
        <f>'1st year Income stmt'!K8</f>
        <v>17917</v>
      </c>
      <c r="L8" s="367">
        <f>'1st year Income stmt'!L8</f>
        <v>17917</v>
      </c>
      <c r="M8" s="367">
        <f>'1st year Income stmt'!M8</f>
        <v>17917</v>
      </c>
      <c r="N8" s="368">
        <f>'1st year Income stmt'!N8</f>
        <v>215004</v>
      </c>
      <c r="O8" s="368">
        <f>'2nd Year IS'!$F9</f>
        <v>225753</v>
      </c>
      <c r="P8" s="368">
        <f>'3rd Year IS'!F9</f>
        <v>237041</v>
      </c>
      <c r="Q8" s="368">
        <f>'4th Year IS'!B9</f>
        <v>248893</v>
      </c>
      <c r="R8" s="368">
        <f>'5th Year IS'!B9</f>
        <v>261337.65000000002</v>
      </c>
    </row>
    <row r="9" spans="1:18" ht="12.75">
      <c r="A9" s="324" t="str">
        <f>'5th Year IS'!A10:B10</f>
        <v>  Cost of Goods</v>
      </c>
      <c r="B9" s="367">
        <f>'1st year Income stmt'!B9</f>
        <v>6270</v>
      </c>
      <c r="C9" s="367">
        <f>'1st year Income stmt'!C9</f>
        <v>6270</v>
      </c>
      <c r="D9" s="367">
        <f>'1st year Income stmt'!D9</f>
        <v>6270</v>
      </c>
      <c r="E9" s="367">
        <f>'1st year Income stmt'!E9</f>
        <v>6270</v>
      </c>
      <c r="F9" s="367">
        <f>'1st year Income stmt'!F9</f>
        <v>6270</v>
      </c>
      <c r="G9" s="367">
        <f>'1st year Income stmt'!G9</f>
        <v>6270</v>
      </c>
      <c r="H9" s="367">
        <f>'1st year Income stmt'!H9</f>
        <v>6270</v>
      </c>
      <c r="I9" s="367">
        <f>'1st year Income stmt'!I9</f>
        <v>6270</v>
      </c>
      <c r="J9" s="367">
        <f>'1st year Income stmt'!J9</f>
        <v>6270</v>
      </c>
      <c r="K9" s="367">
        <f>'1st year Income stmt'!K9</f>
        <v>6270</v>
      </c>
      <c r="L9" s="367">
        <f>'1st year Income stmt'!L9</f>
        <v>6270</v>
      </c>
      <c r="M9" s="367">
        <f>'1st year Income stmt'!M9</f>
        <v>6270</v>
      </c>
      <c r="N9" s="368">
        <f>'1st year Income stmt'!N9</f>
        <v>75240</v>
      </c>
      <c r="O9" s="368">
        <f>'2nd Year IS'!$F10</f>
        <v>79013</v>
      </c>
      <c r="P9" s="368">
        <f>'3rd Year IS'!F10</f>
        <v>82964</v>
      </c>
      <c r="Q9" s="368">
        <f>'4th Year IS'!B10</f>
        <v>87113</v>
      </c>
      <c r="R9" s="368">
        <f>'5th Year IS'!B10</f>
        <v>91468</v>
      </c>
    </row>
    <row r="10" spans="1:18" ht="12.75">
      <c r="A10" s="325" t="str">
        <f>'5th Year IS'!A11:B11</f>
        <v>GROSS PROFIT</v>
      </c>
      <c r="B10" s="370">
        <f>'1st year Income stmt'!B10</f>
        <v>11647</v>
      </c>
      <c r="C10" s="370">
        <f>'1st year Income stmt'!C10</f>
        <v>11647</v>
      </c>
      <c r="D10" s="370">
        <f>'1st year Income stmt'!D10</f>
        <v>11647</v>
      </c>
      <c r="E10" s="370">
        <f>'1st year Income stmt'!E10</f>
        <v>11647</v>
      </c>
      <c r="F10" s="370">
        <f>'1st year Income stmt'!F10</f>
        <v>11647</v>
      </c>
      <c r="G10" s="370">
        <f>'1st year Income stmt'!G10</f>
        <v>11647</v>
      </c>
      <c r="H10" s="370">
        <f>'1st year Income stmt'!H10</f>
        <v>11647</v>
      </c>
      <c r="I10" s="370">
        <f>'1st year Income stmt'!I10</f>
        <v>11647</v>
      </c>
      <c r="J10" s="370">
        <f>'1st year Income stmt'!J10</f>
        <v>11647</v>
      </c>
      <c r="K10" s="370">
        <f>'1st year Income stmt'!K10</f>
        <v>11647</v>
      </c>
      <c r="L10" s="370">
        <f>'1st year Income stmt'!L10</f>
        <v>11647</v>
      </c>
      <c r="M10" s="370">
        <f>'1st year Income stmt'!M10</f>
        <v>11647</v>
      </c>
      <c r="N10" s="371">
        <f>'1st year Income stmt'!N10</f>
        <v>139764</v>
      </c>
      <c r="O10" s="371">
        <f>'2nd Year IS'!$F11</f>
        <v>146740</v>
      </c>
      <c r="P10" s="371">
        <f>'3rd Year IS'!F11</f>
        <v>154077</v>
      </c>
      <c r="Q10" s="371">
        <f>'4th Year IS'!B11</f>
        <v>161780</v>
      </c>
      <c r="R10" s="371">
        <f>'5th Year IS'!B11</f>
        <v>169869.65000000002</v>
      </c>
    </row>
    <row r="11" spans="1:18" ht="12.75">
      <c r="A11" s="324"/>
      <c r="B11" s="367"/>
      <c r="C11" s="367"/>
      <c r="D11" s="367"/>
      <c r="E11" s="367"/>
      <c r="F11" s="367"/>
      <c r="G11" s="367"/>
      <c r="H11" s="367"/>
      <c r="I11" s="367"/>
      <c r="J11" s="367"/>
      <c r="K11" s="367"/>
      <c r="L11" s="367"/>
      <c r="M11" s="367"/>
      <c r="N11" s="368"/>
      <c r="O11" s="368"/>
      <c r="P11" s="368"/>
      <c r="Q11" s="368"/>
      <c r="R11" s="368"/>
    </row>
    <row r="12" spans="1:18" ht="12.75">
      <c r="A12" s="325" t="str">
        <f>'5th Year IS'!A13:B13</f>
        <v>G &amp; A Expenses</v>
      </c>
      <c r="B12" s="367"/>
      <c r="C12" s="367"/>
      <c r="D12" s="367"/>
      <c r="E12" s="367"/>
      <c r="F12" s="367"/>
      <c r="G12" s="367"/>
      <c r="H12" s="367"/>
      <c r="I12" s="367"/>
      <c r="J12" s="367"/>
      <c r="K12" s="367"/>
      <c r="L12" s="367"/>
      <c r="M12" s="367"/>
      <c r="N12" s="368"/>
      <c r="O12" s="368"/>
      <c r="P12" s="368"/>
      <c r="Q12" s="368"/>
      <c r="R12" s="368"/>
    </row>
    <row r="13" spans="1:18" ht="12.75">
      <c r="A13" s="324" t="str">
        <f>'5th Year IS'!A14:B14</f>
        <v>Salary Expense</v>
      </c>
      <c r="B13" s="367">
        <f>'1st year Income stmt'!B13</f>
        <v>4466</v>
      </c>
      <c r="C13" s="367">
        <f>'1st year Income stmt'!C13</f>
        <v>4466</v>
      </c>
      <c r="D13" s="367">
        <f>'1st year Income stmt'!D13</f>
        <v>4466</v>
      </c>
      <c r="E13" s="367">
        <f>'1st year Income stmt'!E13</f>
        <v>4466</v>
      </c>
      <c r="F13" s="367">
        <f>'1st year Income stmt'!F13</f>
        <v>4466</v>
      </c>
      <c r="G13" s="367">
        <f>'1st year Income stmt'!G13</f>
        <v>4466</v>
      </c>
      <c r="H13" s="367">
        <f>'1st year Income stmt'!H13</f>
        <v>4466</v>
      </c>
      <c r="I13" s="367">
        <f>'1st year Income stmt'!I13</f>
        <v>4466</v>
      </c>
      <c r="J13" s="367">
        <f>'1st year Income stmt'!J13</f>
        <v>4466</v>
      </c>
      <c r="K13" s="367">
        <f>'1st year Income stmt'!K13</f>
        <v>4466</v>
      </c>
      <c r="L13" s="367">
        <f>'1st year Income stmt'!L13</f>
        <v>4466</v>
      </c>
      <c r="M13" s="367">
        <f>'1st year Income stmt'!M13</f>
        <v>4466</v>
      </c>
      <c r="N13" s="368">
        <f>'1st year Income stmt'!N13</f>
        <v>53592</v>
      </c>
      <c r="O13" s="368">
        <f>'2nd Year IS'!$F14</f>
        <v>55200</v>
      </c>
      <c r="P13" s="368">
        <f>'3rd Year IS'!F14</f>
        <v>56856</v>
      </c>
      <c r="Q13" s="368">
        <f>'4th Year IS'!B14</f>
        <v>58562</v>
      </c>
      <c r="R13" s="368">
        <f>'5th Year IS'!B14</f>
        <v>60319</v>
      </c>
    </row>
    <row r="14" spans="1:18" ht="12.75">
      <c r="A14" s="324" t="str">
        <f>'5th Year IS'!A15:B15</f>
        <v>Rent</v>
      </c>
      <c r="B14" s="367">
        <f>'1st year Income stmt'!B14</f>
        <v>650</v>
      </c>
      <c r="C14" s="367">
        <f>'1st year Income stmt'!C14</f>
        <v>650</v>
      </c>
      <c r="D14" s="367">
        <f>'1st year Income stmt'!D14</f>
        <v>650</v>
      </c>
      <c r="E14" s="367">
        <f>'1st year Income stmt'!E14</f>
        <v>650</v>
      </c>
      <c r="F14" s="367">
        <f>'1st year Income stmt'!F14</f>
        <v>650</v>
      </c>
      <c r="G14" s="367">
        <f>'1st year Income stmt'!G14</f>
        <v>650</v>
      </c>
      <c r="H14" s="367">
        <f>'1st year Income stmt'!H14</f>
        <v>650</v>
      </c>
      <c r="I14" s="367">
        <f>'1st year Income stmt'!I14</f>
        <v>650</v>
      </c>
      <c r="J14" s="367">
        <f>'1st year Income stmt'!J14</f>
        <v>650</v>
      </c>
      <c r="K14" s="367">
        <f>'1st year Income stmt'!K14</f>
        <v>650</v>
      </c>
      <c r="L14" s="367">
        <f>'1st year Income stmt'!L14</f>
        <v>650</v>
      </c>
      <c r="M14" s="367">
        <f>'1st year Income stmt'!M14</f>
        <v>650</v>
      </c>
      <c r="N14" s="368">
        <f>'1st year Income stmt'!N14</f>
        <v>7800</v>
      </c>
      <c r="O14" s="368">
        <f>'2nd Year IS'!$F15</f>
        <v>8036</v>
      </c>
      <c r="P14" s="368">
        <f>'3rd Year IS'!F15</f>
        <v>8276</v>
      </c>
      <c r="Q14" s="368">
        <f>'4th Year IS'!B15</f>
        <v>8524</v>
      </c>
      <c r="R14" s="368">
        <f>'5th Year IS'!B15</f>
        <v>8780</v>
      </c>
    </row>
    <row r="15" spans="1:18" ht="12.75">
      <c r="A15" s="324" t="str">
        <f>'5th Year IS'!A16:B16</f>
        <v>Payroll taxes</v>
      </c>
      <c r="B15" s="367">
        <f>'1st year Income stmt'!B15</f>
        <v>520</v>
      </c>
      <c r="C15" s="367">
        <f>'1st year Income stmt'!C15</f>
        <v>520</v>
      </c>
      <c r="D15" s="367">
        <f>'1st year Income stmt'!D15</f>
        <v>520</v>
      </c>
      <c r="E15" s="367">
        <f>'1st year Income stmt'!E15</f>
        <v>520</v>
      </c>
      <c r="F15" s="367">
        <f>'1st year Income stmt'!F15</f>
        <v>520</v>
      </c>
      <c r="G15" s="367">
        <f>'1st year Income stmt'!G15</f>
        <v>520</v>
      </c>
      <c r="H15" s="367">
        <f>'1st year Income stmt'!H15</f>
        <v>520</v>
      </c>
      <c r="I15" s="367">
        <f>'1st year Income stmt'!I15</f>
        <v>520</v>
      </c>
      <c r="J15" s="367">
        <f>'1st year Income stmt'!J15</f>
        <v>520</v>
      </c>
      <c r="K15" s="367">
        <f>'1st year Income stmt'!K15</f>
        <v>520</v>
      </c>
      <c r="L15" s="367">
        <f>'1st year Income stmt'!L15</f>
        <v>520</v>
      </c>
      <c r="M15" s="367">
        <f>'1st year Income stmt'!M15</f>
        <v>520</v>
      </c>
      <c r="N15" s="368">
        <f>'1st year Income stmt'!N15</f>
        <v>6240</v>
      </c>
      <c r="O15" s="368">
        <f>'2nd Year IS'!$F16</f>
        <v>6432</v>
      </c>
      <c r="P15" s="368">
        <f>'3rd Year IS'!F16</f>
        <v>6624</v>
      </c>
      <c r="Q15" s="368">
        <f>'4th Year IS'!B16</f>
        <v>6822</v>
      </c>
      <c r="R15" s="368">
        <f>'5th Year IS'!B16</f>
        <v>7027</v>
      </c>
    </row>
    <row r="16" spans="1:18" ht="12.75">
      <c r="A16" s="324" t="s">
        <v>150</v>
      </c>
      <c r="B16" s="367">
        <f>'1st year Income stmt'!B16</f>
        <v>132</v>
      </c>
      <c r="C16" s="367">
        <f>'1st year Income stmt'!C16</f>
        <v>132</v>
      </c>
      <c r="D16" s="367">
        <f>'1st year Income stmt'!D16</f>
        <v>132</v>
      </c>
      <c r="E16" s="367">
        <f>'1st year Income stmt'!E16</f>
        <v>132</v>
      </c>
      <c r="F16" s="367">
        <f>'1st year Income stmt'!F16</f>
        <v>132</v>
      </c>
      <c r="G16" s="367">
        <f>'1st year Income stmt'!G16</f>
        <v>132</v>
      </c>
      <c r="H16" s="367">
        <f>'1st year Income stmt'!H16</f>
        <v>132</v>
      </c>
      <c r="I16" s="367">
        <f>'1st year Income stmt'!I16</f>
        <v>132</v>
      </c>
      <c r="J16" s="367">
        <f>'1st year Income stmt'!J16</f>
        <v>132</v>
      </c>
      <c r="K16" s="367">
        <f>'1st year Income stmt'!K16</f>
        <v>132</v>
      </c>
      <c r="L16" s="367">
        <f>'1st year Income stmt'!L16</f>
        <v>132</v>
      </c>
      <c r="M16" s="367">
        <f>'1st year Income stmt'!M16</f>
        <v>132</v>
      </c>
      <c r="N16" s="368">
        <f>'1st year Income stmt'!N16</f>
        <v>1584</v>
      </c>
      <c r="O16" s="368">
        <f>'2nd Year IS'!$F17</f>
        <v>1632</v>
      </c>
      <c r="P16" s="368">
        <f>'3rd Year IS'!F17</f>
        <v>1680</v>
      </c>
      <c r="Q16" s="368">
        <f>'4th Year IS'!B17</f>
        <v>1730</v>
      </c>
      <c r="R16" s="368">
        <f>'5th Year IS'!B17</f>
        <v>1782</v>
      </c>
    </row>
    <row r="17" spans="1:18" ht="12.75">
      <c r="A17" s="324" t="s">
        <v>151</v>
      </c>
      <c r="B17" s="367">
        <f>'1st year Income stmt'!B17</f>
        <v>25</v>
      </c>
      <c r="C17" s="367">
        <f>'1st year Income stmt'!C17</f>
        <v>25</v>
      </c>
      <c r="D17" s="367">
        <f>'1st year Income stmt'!D17</f>
        <v>25</v>
      </c>
      <c r="E17" s="367">
        <f>'1st year Income stmt'!E17</f>
        <v>25</v>
      </c>
      <c r="F17" s="367">
        <f>'1st year Income stmt'!F17</f>
        <v>25</v>
      </c>
      <c r="G17" s="367">
        <f>'1st year Income stmt'!G17</f>
        <v>25</v>
      </c>
      <c r="H17" s="367">
        <f>'1st year Income stmt'!H17</f>
        <v>25</v>
      </c>
      <c r="I17" s="367">
        <f>'1st year Income stmt'!I17</f>
        <v>25</v>
      </c>
      <c r="J17" s="367">
        <f>'1st year Income stmt'!J17</f>
        <v>25</v>
      </c>
      <c r="K17" s="367">
        <f>'1st year Income stmt'!K17</f>
        <v>25</v>
      </c>
      <c r="L17" s="367">
        <f>'1st year Income stmt'!L17</f>
        <v>25</v>
      </c>
      <c r="M17" s="367">
        <f>'1st year Income stmt'!M17</f>
        <v>25</v>
      </c>
      <c r="N17" s="368">
        <f>'1st year Income stmt'!N17</f>
        <v>300</v>
      </c>
      <c r="O17" s="368">
        <f>'2nd Year IS'!$F18</f>
        <v>308</v>
      </c>
      <c r="P17" s="368">
        <f>'3rd Year IS'!F18</f>
        <v>316</v>
      </c>
      <c r="Q17" s="368">
        <f>'4th Year IS'!B18</f>
        <v>325</v>
      </c>
      <c r="R17" s="368">
        <f>'5th Year IS'!B18</f>
        <v>335</v>
      </c>
    </row>
    <row r="18" spans="1:18" ht="12.75">
      <c r="A18" s="324" t="s">
        <v>152</v>
      </c>
      <c r="B18" s="367">
        <f>'1st year Income stmt'!B18</f>
        <v>925</v>
      </c>
      <c r="C18" s="367">
        <f>'1st year Income stmt'!C18</f>
        <v>925</v>
      </c>
      <c r="D18" s="367">
        <f>'1st year Income stmt'!D18</f>
        <v>925</v>
      </c>
      <c r="E18" s="367">
        <f>'1st year Income stmt'!E18</f>
        <v>925</v>
      </c>
      <c r="F18" s="367">
        <f>'1st year Income stmt'!F18</f>
        <v>925</v>
      </c>
      <c r="G18" s="367">
        <f>'1st year Income stmt'!G18</f>
        <v>925</v>
      </c>
      <c r="H18" s="367">
        <f>'1st year Income stmt'!H18</f>
        <v>925</v>
      </c>
      <c r="I18" s="367">
        <f>'1st year Income stmt'!I18</f>
        <v>925</v>
      </c>
      <c r="J18" s="367">
        <f>'1st year Income stmt'!J18</f>
        <v>925</v>
      </c>
      <c r="K18" s="367">
        <f>'1st year Income stmt'!K18</f>
        <v>925</v>
      </c>
      <c r="L18" s="367">
        <f>'1st year Income stmt'!L18</f>
        <v>925</v>
      </c>
      <c r="M18" s="367">
        <f>'1st year Income stmt'!M18</f>
        <v>925</v>
      </c>
      <c r="N18" s="368">
        <f>'1st year Income stmt'!N18</f>
        <v>11100</v>
      </c>
      <c r="O18" s="368">
        <f>'2nd Year IS'!$F19</f>
        <v>11100</v>
      </c>
      <c r="P18" s="368">
        <f>'3rd Year IS'!F19</f>
        <v>11100</v>
      </c>
      <c r="Q18" s="368">
        <f>'4th Year IS'!B19</f>
        <v>11100</v>
      </c>
      <c r="R18" s="368">
        <f>'5th Year IS'!B19</f>
        <v>11100</v>
      </c>
    </row>
    <row r="19" spans="1:18" ht="12.75">
      <c r="A19" s="324" t="s">
        <v>153</v>
      </c>
      <c r="B19" s="367">
        <f>'1st year Income stmt'!B19</f>
        <v>358</v>
      </c>
      <c r="C19" s="367">
        <f>'1st year Income stmt'!C19</f>
        <v>358</v>
      </c>
      <c r="D19" s="367">
        <f>'1st year Income stmt'!D19</f>
        <v>358</v>
      </c>
      <c r="E19" s="367">
        <f>'1st year Income stmt'!E19</f>
        <v>358</v>
      </c>
      <c r="F19" s="367">
        <f>'1st year Income stmt'!F19</f>
        <v>358</v>
      </c>
      <c r="G19" s="367">
        <f>'1st year Income stmt'!G19</f>
        <v>358</v>
      </c>
      <c r="H19" s="367">
        <f>'1st year Income stmt'!H19</f>
        <v>358</v>
      </c>
      <c r="I19" s="367">
        <f>'1st year Income stmt'!I19</f>
        <v>358</v>
      </c>
      <c r="J19" s="367">
        <f>'1st year Income stmt'!J19</f>
        <v>358</v>
      </c>
      <c r="K19" s="367">
        <f>'1st year Income stmt'!K19</f>
        <v>358</v>
      </c>
      <c r="L19" s="367">
        <f>'1st year Income stmt'!L19</f>
        <v>358</v>
      </c>
      <c r="M19" s="367">
        <f>'1st year Income stmt'!M19</f>
        <v>358</v>
      </c>
      <c r="N19" s="368">
        <f>'1st year Income stmt'!N19</f>
        <v>4296</v>
      </c>
      <c r="O19" s="368">
        <f>'2nd Year IS'!$F20</f>
        <v>4424</v>
      </c>
      <c r="P19" s="368">
        <f>'3rd Year IS'!F20</f>
        <v>4622</v>
      </c>
      <c r="Q19" s="368">
        <f>'4th Year IS'!B20</f>
        <v>4761</v>
      </c>
      <c r="R19" s="368">
        <f>'5th Year IS'!B20</f>
        <v>4904</v>
      </c>
    </row>
    <row r="20" spans="1:18" ht="12.75">
      <c r="A20" s="324" t="str">
        <f>'5th Year IS'!A21:B21</f>
        <v>Interest</v>
      </c>
      <c r="B20" s="367">
        <f>'1st year Income stmt'!B20</f>
        <v>480</v>
      </c>
      <c r="C20" s="367">
        <f>'1st year Income stmt'!C20</f>
        <v>476</v>
      </c>
      <c r="D20" s="367">
        <f>'1st year Income stmt'!D20</f>
        <v>472</v>
      </c>
      <c r="E20" s="367">
        <f>'1st year Income stmt'!E20</f>
        <v>468</v>
      </c>
      <c r="F20" s="367">
        <f>'1st year Income stmt'!F20</f>
        <v>463</v>
      </c>
      <c r="G20" s="367">
        <f>'1st year Income stmt'!G20</f>
        <v>459</v>
      </c>
      <c r="H20" s="367">
        <f>'1st year Income stmt'!H20</f>
        <v>454</v>
      </c>
      <c r="I20" s="367">
        <f>'1st year Income stmt'!I20</f>
        <v>450</v>
      </c>
      <c r="J20" s="367">
        <f>'1st year Income stmt'!J20</f>
        <v>445</v>
      </c>
      <c r="K20" s="367">
        <f>'1st year Income stmt'!K20</f>
        <v>441</v>
      </c>
      <c r="L20" s="367">
        <f>'1st year Income stmt'!L20</f>
        <v>436</v>
      </c>
      <c r="M20" s="367">
        <f>'1st year Income stmt'!M20</f>
        <v>432</v>
      </c>
      <c r="N20" s="368">
        <f>'1st year Income stmt'!N20</f>
        <v>5476</v>
      </c>
      <c r="O20" s="368">
        <f>'2nd Year IS'!$F21</f>
        <v>4812</v>
      </c>
      <c r="P20" s="368">
        <f>'3rd Year IS'!F21</f>
        <v>4124</v>
      </c>
      <c r="Q20" s="368">
        <f>'4th Year IS'!B21</f>
        <v>3315</v>
      </c>
      <c r="R20" s="368">
        <f>'5th Year IS'!B21</f>
        <v>2470</v>
      </c>
    </row>
    <row r="21" spans="1:18" ht="12.75">
      <c r="A21" s="324" t="str">
        <f>'5th Year IS'!A22:B22</f>
        <v>Rep &amp; Maint.</v>
      </c>
      <c r="B21" s="367">
        <f>'1st year Income stmt'!B21</f>
        <v>100</v>
      </c>
      <c r="C21" s="367">
        <f>'1st year Income stmt'!C21</f>
        <v>100</v>
      </c>
      <c r="D21" s="367">
        <f>'1st year Income stmt'!D21</f>
        <v>100</v>
      </c>
      <c r="E21" s="367">
        <f>'1st year Income stmt'!E21</f>
        <v>100</v>
      </c>
      <c r="F21" s="367">
        <f>'1st year Income stmt'!F21</f>
        <v>100</v>
      </c>
      <c r="G21" s="367">
        <f>'1st year Income stmt'!G21</f>
        <v>100</v>
      </c>
      <c r="H21" s="367">
        <f>'1st year Income stmt'!H21</f>
        <v>100</v>
      </c>
      <c r="I21" s="367">
        <f>'1st year Income stmt'!I21</f>
        <v>100</v>
      </c>
      <c r="J21" s="367">
        <f>'1st year Income stmt'!J21</f>
        <v>100</v>
      </c>
      <c r="K21" s="367">
        <f>'1st year Income stmt'!K21</f>
        <v>100</v>
      </c>
      <c r="L21" s="367">
        <f>'1st year Income stmt'!L21</f>
        <v>100</v>
      </c>
      <c r="M21" s="367">
        <f>'1st year Income stmt'!M21</f>
        <v>100</v>
      </c>
      <c r="N21" s="368">
        <f>'1st year Income stmt'!N21</f>
        <v>1200</v>
      </c>
      <c r="O21" s="368">
        <f>'2nd Year IS'!$F22</f>
        <v>1236</v>
      </c>
      <c r="P21" s="368">
        <f>'3rd Year IS'!F22</f>
        <v>1296</v>
      </c>
      <c r="Q21" s="368">
        <f>'4th Year IS'!B22</f>
        <v>1335</v>
      </c>
      <c r="R21" s="368">
        <f>'5th Year IS'!B22</f>
        <v>1375</v>
      </c>
    </row>
    <row r="22" spans="1:18" ht="12.75">
      <c r="A22" s="324" t="str">
        <f>'5th Year IS'!A23:B23</f>
        <v>Util. &amp; Phone</v>
      </c>
      <c r="B22" s="367">
        <f>'1st year Income stmt'!B22</f>
        <v>800</v>
      </c>
      <c r="C22" s="367">
        <f>'1st year Income stmt'!C22</f>
        <v>800</v>
      </c>
      <c r="D22" s="367">
        <f>'1st year Income stmt'!D22</f>
        <v>800</v>
      </c>
      <c r="E22" s="367">
        <f>'1st year Income stmt'!E22</f>
        <v>800</v>
      </c>
      <c r="F22" s="367">
        <f>'1st year Income stmt'!F22</f>
        <v>800</v>
      </c>
      <c r="G22" s="367">
        <f>'1st year Income stmt'!G22</f>
        <v>800</v>
      </c>
      <c r="H22" s="367">
        <f>'1st year Income stmt'!H22</f>
        <v>800</v>
      </c>
      <c r="I22" s="367">
        <f>'1st year Income stmt'!I22</f>
        <v>800</v>
      </c>
      <c r="J22" s="367">
        <f>'1st year Income stmt'!J22</f>
        <v>800</v>
      </c>
      <c r="K22" s="367">
        <f>'1st year Income stmt'!K22</f>
        <v>800</v>
      </c>
      <c r="L22" s="367">
        <f>'1st year Income stmt'!L22</f>
        <v>800</v>
      </c>
      <c r="M22" s="367">
        <f>'1st year Income stmt'!M22</f>
        <v>800</v>
      </c>
      <c r="N22" s="368">
        <f>'1st year Income stmt'!N22</f>
        <v>9600</v>
      </c>
      <c r="O22" s="368">
        <f>'2nd Year IS'!$F23</f>
        <v>9888</v>
      </c>
      <c r="P22" s="368">
        <f>'3rd Year IS'!F23</f>
        <v>10384</v>
      </c>
      <c r="Q22" s="368">
        <f>'4th Year IS'!B23</f>
        <v>10696</v>
      </c>
      <c r="R22" s="368">
        <f>'5th Year IS'!B23</f>
        <v>11017</v>
      </c>
    </row>
    <row r="23" spans="1:18" ht="12.75">
      <c r="A23" s="324" t="str">
        <f>'5th Year IS'!A24:B24</f>
        <v>Office Supplies</v>
      </c>
      <c r="B23" s="367">
        <f>'1st year Income stmt'!B23</f>
        <v>150</v>
      </c>
      <c r="C23" s="367">
        <f>'1st year Income stmt'!C23</f>
        <v>150</v>
      </c>
      <c r="D23" s="367">
        <f>'1st year Income stmt'!D23</f>
        <v>150</v>
      </c>
      <c r="E23" s="367">
        <f>'1st year Income stmt'!E23</f>
        <v>150</v>
      </c>
      <c r="F23" s="367">
        <f>'1st year Income stmt'!F23</f>
        <v>150</v>
      </c>
      <c r="G23" s="367">
        <f>'1st year Income stmt'!G23</f>
        <v>150</v>
      </c>
      <c r="H23" s="367">
        <f>'1st year Income stmt'!H23</f>
        <v>150</v>
      </c>
      <c r="I23" s="367">
        <f>'1st year Income stmt'!I23</f>
        <v>150</v>
      </c>
      <c r="J23" s="367">
        <f>'1st year Income stmt'!J23</f>
        <v>150</v>
      </c>
      <c r="K23" s="367">
        <f>'1st year Income stmt'!K23</f>
        <v>150</v>
      </c>
      <c r="L23" s="367">
        <f>'1st year Income stmt'!L23</f>
        <v>150</v>
      </c>
      <c r="M23" s="367">
        <f>'1st year Income stmt'!M23</f>
        <v>150</v>
      </c>
      <c r="N23" s="368">
        <f>'1st year Income stmt'!N23</f>
        <v>1800</v>
      </c>
      <c r="O23" s="368">
        <f>'2nd Year IS'!$F24</f>
        <v>1856</v>
      </c>
      <c r="P23" s="368">
        <f>'3rd Year IS'!F24</f>
        <v>1948</v>
      </c>
      <c r="Q23" s="368">
        <f>'4th Year IS'!B24</f>
        <v>2006</v>
      </c>
      <c r="R23" s="368">
        <f>'5th Year IS'!B24</f>
        <v>2066</v>
      </c>
    </row>
    <row r="24" spans="1:18" ht="12.75">
      <c r="A24" s="324" t="str">
        <f>'5th Year IS'!A25:B25</f>
        <v>Other Taxes</v>
      </c>
      <c r="B24" s="367">
        <f>'1st year Income stmt'!B24</f>
        <v>0</v>
      </c>
      <c r="C24" s="367">
        <f>'1st year Income stmt'!C24</f>
        <v>0</v>
      </c>
      <c r="D24" s="367">
        <f>'1st year Income stmt'!D24</f>
        <v>0</v>
      </c>
      <c r="E24" s="367">
        <f>'1st year Income stmt'!E24</f>
        <v>0</v>
      </c>
      <c r="F24" s="367">
        <f>'1st year Income stmt'!F24</f>
        <v>0</v>
      </c>
      <c r="G24" s="367">
        <f>'1st year Income stmt'!G24</f>
        <v>0</v>
      </c>
      <c r="H24" s="367">
        <f>'1st year Income stmt'!H24</f>
        <v>0</v>
      </c>
      <c r="I24" s="367">
        <f>'1st year Income stmt'!I24</f>
        <v>0</v>
      </c>
      <c r="J24" s="367">
        <f>'1st year Income stmt'!J24</f>
        <v>0</v>
      </c>
      <c r="K24" s="367">
        <f>'1st year Income stmt'!K24</f>
        <v>0</v>
      </c>
      <c r="L24" s="367">
        <f>'1st year Income stmt'!L24</f>
        <v>0</v>
      </c>
      <c r="M24" s="367">
        <f>'1st year Income stmt'!M24</f>
        <v>0</v>
      </c>
      <c r="N24" s="368">
        <f>'1st year Income stmt'!N24</f>
        <v>0</v>
      </c>
      <c r="O24" s="368">
        <f>'2nd Year IS'!$F25</f>
        <v>0</v>
      </c>
      <c r="P24" s="368">
        <f>'3rd Year IS'!F25</f>
        <v>0</v>
      </c>
      <c r="Q24" s="368">
        <f>'4th Year IS'!B25</f>
        <v>0</v>
      </c>
      <c r="R24" s="368">
        <f>'5th Year IS'!B25</f>
        <v>0</v>
      </c>
    </row>
    <row r="25" spans="1:19" ht="12.75">
      <c r="A25" s="324" t="s">
        <v>160</v>
      </c>
      <c r="B25" s="367">
        <f>'1st year Income stmt'!B25</f>
        <v>90</v>
      </c>
      <c r="C25" s="367">
        <f>'1st year Income stmt'!C25</f>
        <v>90</v>
      </c>
      <c r="D25" s="367">
        <f>'1st year Income stmt'!D25</f>
        <v>90</v>
      </c>
      <c r="E25" s="367">
        <f>'1st year Income stmt'!E25</f>
        <v>90</v>
      </c>
      <c r="F25" s="367">
        <f>'1st year Income stmt'!F25</f>
        <v>90</v>
      </c>
      <c r="G25" s="367">
        <f>'1st year Income stmt'!G25</f>
        <v>90</v>
      </c>
      <c r="H25" s="367">
        <f>'1st year Income stmt'!H25</f>
        <v>90</v>
      </c>
      <c r="I25" s="367">
        <f>'1st year Income stmt'!I25</f>
        <v>90</v>
      </c>
      <c r="J25" s="367">
        <f>'1st year Income stmt'!J25</f>
        <v>90</v>
      </c>
      <c r="K25" s="367">
        <f>'1st year Income stmt'!K25</f>
        <v>90</v>
      </c>
      <c r="L25" s="367">
        <f>'1st year Income stmt'!L25</f>
        <v>90</v>
      </c>
      <c r="M25" s="367">
        <f>'1st year Income stmt'!M25</f>
        <v>94</v>
      </c>
      <c r="N25" s="368">
        <f>'1st year Income stmt'!N25</f>
        <v>1084</v>
      </c>
      <c r="O25" s="368">
        <f>'2nd Year IS'!$F26</f>
        <v>1133</v>
      </c>
      <c r="P25" s="368">
        <f>'3rd Year IS'!F26</f>
        <v>1189</v>
      </c>
      <c r="Q25" s="368">
        <f>'4th Year IS'!B26</f>
        <v>1244</v>
      </c>
      <c r="R25" s="368">
        <f>'5th Year IS'!B26</f>
        <v>1307</v>
      </c>
      <c r="S25" t="s">
        <v>354</v>
      </c>
    </row>
    <row r="26" spans="1:18" ht="12.75">
      <c r="A26" s="324"/>
      <c r="B26" s="367"/>
      <c r="C26" s="367"/>
      <c r="D26" s="367"/>
      <c r="E26" s="367"/>
      <c r="F26" s="367"/>
      <c r="G26" s="367"/>
      <c r="H26" s="367"/>
      <c r="I26" s="367"/>
      <c r="J26" s="367"/>
      <c r="K26" s="367"/>
      <c r="L26" s="367"/>
      <c r="M26" s="367"/>
      <c r="N26" s="368"/>
      <c r="O26" s="368"/>
      <c r="P26" s="368"/>
      <c r="Q26" s="368"/>
      <c r="R26" s="368"/>
    </row>
    <row r="27" spans="1:23" ht="12.75">
      <c r="A27" s="325" t="str">
        <f>'5th Year IS'!A28:B28</f>
        <v>Total G&amp;A Exp.</v>
      </c>
      <c r="B27" s="370">
        <f>'1st year Income stmt'!B28</f>
        <v>8946</v>
      </c>
      <c r="C27" s="370">
        <f>'1st year Income stmt'!C28</f>
        <v>8942</v>
      </c>
      <c r="D27" s="370">
        <f>'1st year Income stmt'!D28</f>
        <v>8938</v>
      </c>
      <c r="E27" s="370">
        <f>'1st year Income stmt'!E28</f>
        <v>8934</v>
      </c>
      <c r="F27" s="370">
        <f>'1st year Income stmt'!F28</f>
        <v>8929</v>
      </c>
      <c r="G27" s="370">
        <f>'1st year Income stmt'!G28</f>
        <v>8925</v>
      </c>
      <c r="H27" s="370">
        <f>'1st year Income stmt'!H28</f>
        <v>8920</v>
      </c>
      <c r="I27" s="370">
        <f>'1st year Income stmt'!I28</f>
        <v>8916</v>
      </c>
      <c r="J27" s="370">
        <f>'1st year Income stmt'!J28</f>
        <v>8911</v>
      </c>
      <c r="K27" s="370">
        <f>'1st year Income stmt'!K28</f>
        <v>8907</v>
      </c>
      <c r="L27" s="370">
        <f>'1st year Income stmt'!L28</f>
        <v>8902</v>
      </c>
      <c r="M27" s="370">
        <f>'1st year Income stmt'!M28</f>
        <v>8902</v>
      </c>
      <c r="N27" s="371">
        <f>'1st year Income stmt'!N28</f>
        <v>107072</v>
      </c>
      <c r="O27" s="371">
        <f>'2nd Year IS'!$F28</f>
        <v>109149</v>
      </c>
      <c r="P27" s="371">
        <f>'3rd Year IS'!F28</f>
        <v>111663</v>
      </c>
      <c r="Q27" s="371">
        <f>'4th Year IS'!B28</f>
        <v>110420</v>
      </c>
      <c r="R27" s="371">
        <f>'5th Year IS'!B28</f>
        <v>112482</v>
      </c>
      <c r="S27" s="80">
        <f>N27/N6</f>
        <v>0.4980000372086101</v>
      </c>
      <c r="T27" s="80">
        <f>O27/O6</f>
        <v>0.483488591513734</v>
      </c>
      <c r="U27" s="80">
        <f>P27/P6</f>
        <v>0.47107040554165736</v>
      </c>
      <c r="V27" s="80">
        <f>Q27/Q6</f>
        <v>0.4436444576585119</v>
      </c>
      <c r="W27" s="80">
        <f>R27/R6</f>
        <v>0.430408706896997</v>
      </c>
    </row>
    <row r="28" spans="1:18" ht="12.75">
      <c r="A28" s="324"/>
      <c r="B28" s="367"/>
      <c r="C28" s="367"/>
      <c r="D28" s="367"/>
      <c r="E28" s="367"/>
      <c r="F28" s="367"/>
      <c r="G28" s="367"/>
      <c r="H28" s="367"/>
      <c r="I28" s="367"/>
      <c r="J28" s="367"/>
      <c r="K28" s="367"/>
      <c r="L28" s="367"/>
      <c r="M28" s="367"/>
      <c r="N28" s="368"/>
      <c r="O28" s="368"/>
      <c r="P28" s="368"/>
      <c r="Q28" s="368"/>
      <c r="R28" s="368"/>
    </row>
    <row r="29" spans="1:18" ht="12.75">
      <c r="A29" s="324" t="str">
        <f>'5th Year IS'!A30:B30</f>
        <v>Net Income BT</v>
      </c>
      <c r="B29" s="367">
        <f>'1st year Income stmt'!B29</f>
        <v>2701</v>
      </c>
      <c r="C29" s="367">
        <f>'1st year Income stmt'!C29</f>
        <v>2705</v>
      </c>
      <c r="D29" s="367">
        <f>'1st year Income stmt'!D29</f>
        <v>2709</v>
      </c>
      <c r="E29" s="367">
        <f>'1st year Income stmt'!E29</f>
        <v>2713</v>
      </c>
      <c r="F29" s="367">
        <f>'1st year Income stmt'!F29</f>
        <v>2718</v>
      </c>
      <c r="G29" s="367">
        <f>'1st year Income stmt'!G29</f>
        <v>2722</v>
      </c>
      <c r="H29" s="367">
        <f>'1st year Income stmt'!H29</f>
        <v>2727</v>
      </c>
      <c r="I29" s="367">
        <f>'1st year Income stmt'!I29</f>
        <v>2731</v>
      </c>
      <c r="J29" s="367">
        <f>'1st year Income stmt'!J29</f>
        <v>2736</v>
      </c>
      <c r="K29" s="367">
        <f>'1st year Income stmt'!K29</f>
        <v>2740</v>
      </c>
      <c r="L29" s="367">
        <f>'1st year Income stmt'!L29</f>
        <v>2745</v>
      </c>
      <c r="M29" s="367">
        <f>'1st year Income stmt'!M29</f>
        <v>2745</v>
      </c>
      <c r="N29" s="368">
        <f>'1st year Income stmt'!N29</f>
        <v>32692</v>
      </c>
      <c r="O29" s="371">
        <f>'2nd Year IS'!$F30</f>
        <v>37591</v>
      </c>
      <c r="P29" s="371">
        <f>'3rd Year IS'!F30</f>
        <v>42414</v>
      </c>
      <c r="Q29" s="371">
        <f>'4th Year IS'!B30</f>
        <v>51360</v>
      </c>
      <c r="R29" s="371">
        <f>'5th Year IS'!B30</f>
        <v>57387.65000000002</v>
      </c>
    </row>
    <row r="30" spans="1:18" ht="12.75">
      <c r="A30" s="326" t="s">
        <v>195</v>
      </c>
      <c r="B30" s="379">
        <f>+'1st year Income stmt'!B30</f>
        <v>540.2</v>
      </c>
      <c r="C30" s="379">
        <f>+'1st year Income stmt'!C30</f>
        <v>541</v>
      </c>
      <c r="D30" s="379">
        <f>+'1st year Income stmt'!D30</f>
        <v>541.8000000000001</v>
      </c>
      <c r="E30" s="379">
        <f>+'1st year Income stmt'!E30</f>
        <v>542.6</v>
      </c>
      <c r="F30" s="379">
        <f>+'1st year Income stmt'!F30</f>
        <v>543.6</v>
      </c>
      <c r="G30" s="379">
        <f>+'1st year Income stmt'!G30</f>
        <v>544.4</v>
      </c>
      <c r="H30" s="379">
        <f>+'1st year Income stmt'!H30</f>
        <v>545.4</v>
      </c>
      <c r="I30" s="379">
        <f>+'1st year Income stmt'!I30</f>
        <v>546.2</v>
      </c>
      <c r="J30" s="379">
        <f>+'1st year Income stmt'!J30</f>
        <v>547.2</v>
      </c>
      <c r="K30" s="379">
        <f>+'1st year Income stmt'!K30</f>
        <v>548</v>
      </c>
      <c r="L30" s="379">
        <f>+'1st year Income stmt'!L30</f>
        <v>549</v>
      </c>
      <c r="M30" s="379">
        <f>+'1st year Income stmt'!M30</f>
        <v>549</v>
      </c>
      <c r="N30" s="380">
        <f>+'1st year Income stmt'!N30</f>
        <v>6538.4</v>
      </c>
      <c r="O30" s="380">
        <f>+'2nd Year IS'!F31</f>
        <v>7518.200000000001</v>
      </c>
      <c r="P30" s="380">
        <f>'3rd Year IS'!F31</f>
        <v>8482.8</v>
      </c>
      <c r="Q30" s="380">
        <f>'4th Year IS'!B31</f>
        <v>10272</v>
      </c>
      <c r="R30" s="380">
        <f>'5th Year IS'!B31</f>
        <v>11477.530000000006</v>
      </c>
    </row>
    <row r="31" spans="1:18" ht="13.5" thickBot="1">
      <c r="A31" s="327" t="s">
        <v>196</v>
      </c>
      <c r="B31" s="381">
        <f>+'1st year Income stmt'!B31</f>
        <v>2160.8</v>
      </c>
      <c r="C31" s="381">
        <f>+'1st year Income stmt'!C31</f>
        <v>2164</v>
      </c>
      <c r="D31" s="381">
        <f>+'1st year Income stmt'!D31</f>
        <v>2167.2</v>
      </c>
      <c r="E31" s="381">
        <f>+'1st year Income stmt'!E31</f>
        <v>2170.4</v>
      </c>
      <c r="F31" s="381">
        <f>+'1st year Income stmt'!F31</f>
        <v>2174.4</v>
      </c>
      <c r="G31" s="381">
        <f>+'1st year Income stmt'!G31</f>
        <v>2177.6</v>
      </c>
      <c r="H31" s="381">
        <f>+'1st year Income stmt'!H31</f>
        <v>2181.6</v>
      </c>
      <c r="I31" s="381">
        <f>+'1st year Income stmt'!I31</f>
        <v>2184.8</v>
      </c>
      <c r="J31" s="381">
        <f>+'1st year Income stmt'!J31</f>
        <v>2188.8</v>
      </c>
      <c r="K31" s="381">
        <f>+'1st year Income stmt'!K31</f>
        <v>2192</v>
      </c>
      <c r="L31" s="381">
        <f>+'1st year Income stmt'!L31</f>
        <v>2196</v>
      </c>
      <c r="M31" s="381">
        <f>+'1st year Income stmt'!M31</f>
        <v>2196</v>
      </c>
      <c r="N31" s="382">
        <f>+'1st year Income stmt'!N31</f>
        <v>26153.6</v>
      </c>
      <c r="O31" s="382">
        <f>+'2nd Year IS'!F32</f>
        <v>30072.8</v>
      </c>
      <c r="P31" s="382">
        <f>'3rd Year IS'!F32</f>
        <v>33931.2</v>
      </c>
      <c r="Q31" s="382">
        <f>'4th Year IS'!B32</f>
        <v>41088</v>
      </c>
      <c r="R31" s="382">
        <f>'5th Year IS'!B32</f>
        <v>45910.12000000002</v>
      </c>
    </row>
    <row r="32" spans="12:27" ht="13.5" thickTop="1">
      <c r="L32" s="328"/>
      <c r="M32" s="328"/>
      <c r="N32" s="328"/>
      <c r="O32" s="328"/>
      <c r="P32" s="328"/>
      <c r="Q32" s="10"/>
      <c r="R32" s="10"/>
      <c r="S32" s="10"/>
      <c r="T32" s="10"/>
      <c r="U32" s="10"/>
      <c r="V32" s="10"/>
      <c r="W32" s="10"/>
      <c r="X32" s="10"/>
      <c r="Y32" s="10"/>
      <c r="Z32" s="10"/>
      <c r="AA32" s="10"/>
    </row>
    <row r="33" spans="1:27" ht="12.75">
      <c r="A33" s="10" t="s">
        <v>341</v>
      </c>
      <c r="B33" s="10"/>
      <c r="C33" s="10"/>
      <c r="D33" s="10"/>
      <c r="E33" s="10"/>
      <c r="F33" s="10"/>
      <c r="G33" s="10"/>
      <c r="H33" s="10"/>
      <c r="I33" s="10"/>
      <c r="J33" s="10"/>
      <c r="K33" s="10"/>
      <c r="Q33" s="10"/>
      <c r="R33" s="10"/>
      <c r="S33" s="10"/>
      <c r="T33" s="10"/>
      <c r="U33" s="10"/>
      <c r="V33" s="10"/>
      <c r="W33" s="10"/>
      <c r="X33" s="10"/>
      <c r="Y33" s="10"/>
      <c r="Z33" s="10"/>
      <c r="AA33" s="10"/>
    </row>
    <row r="34" spans="1:27" ht="12.75">
      <c r="A34" s="10" t="s">
        <v>335</v>
      </c>
      <c r="B34" s="10"/>
      <c r="C34" s="10"/>
      <c r="D34" s="10"/>
      <c r="E34" s="10"/>
      <c r="F34" s="10"/>
      <c r="G34" s="10"/>
      <c r="H34" s="10"/>
      <c r="I34" s="10"/>
      <c r="J34" s="10"/>
      <c r="K34" s="10"/>
      <c r="Q34" s="10"/>
      <c r="R34" s="10"/>
      <c r="S34" s="10"/>
      <c r="T34" s="10"/>
      <c r="U34" s="10"/>
      <c r="V34" s="10"/>
      <c r="W34" s="10"/>
      <c r="X34" s="10"/>
      <c r="Y34" s="10"/>
      <c r="Z34" s="10"/>
      <c r="AA34" s="10"/>
    </row>
    <row r="35" spans="1:27" ht="12.75">
      <c r="A35" s="10" t="s">
        <v>349</v>
      </c>
      <c r="B35" s="10"/>
      <c r="C35" s="10"/>
      <c r="D35" s="10"/>
      <c r="E35" s="10"/>
      <c r="F35" s="10"/>
      <c r="G35" s="10"/>
      <c r="H35" s="10"/>
      <c r="I35" s="10"/>
      <c r="J35" s="10"/>
      <c r="K35" s="10"/>
      <c r="Q35" s="10"/>
      <c r="R35" s="10"/>
      <c r="S35" s="10"/>
      <c r="T35" s="10"/>
      <c r="U35" s="10"/>
      <c r="V35" s="10"/>
      <c r="W35" s="10"/>
      <c r="X35" s="10"/>
      <c r="Y35" s="10"/>
      <c r="Z35" s="10"/>
      <c r="AA35" s="10"/>
    </row>
    <row r="36" spans="1:27" ht="12.75">
      <c r="A36" s="10" t="s">
        <v>336</v>
      </c>
      <c r="B36" s="10"/>
      <c r="C36" s="10"/>
      <c r="D36" s="10"/>
      <c r="E36" s="10"/>
      <c r="F36" s="10"/>
      <c r="G36" s="10"/>
      <c r="H36" s="10"/>
      <c r="I36" s="10"/>
      <c r="J36" s="10"/>
      <c r="K36" s="10"/>
      <c r="Q36" s="10"/>
      <c r="R36" s="10"/>
      <c r="S36" s="10"/>
      <c r="T36" s="10"/>
      <c r="U36" s="10"/>
      <c r="V36" s="10"/>
      <c r="W36" s="10"/>
      <c r="X36" s="10"/>
      <c r="Y36" s="10"/>
      <c r="Z36" s="10"/>
      <c r="AA36" s="10"/>
    </row>
    <row r="37" spans="1:27" ht="12.75">
      <c r="A37" s="10" t="s">
        <v>353</v>
      </c>
      <c r="B37" s="10"/>
      <c r="C37" s="10"/>
      <c r="D37" s="10"/>
      <c r="E37" s="10"/>
      <c r="F37" s="10"/>
      <c r="G37" s="10"/>
      <c r="H37" s="10"/>
      <c r="I37" s="10"/>
      <c r="J37" s="10"/>
      <c r="K37" s="10"/>
      <c r="Q37" s="10"/>
      <c r="R37" s="10"/>
      <c r="S37" s="10"/>
      <c r="T37" s="10"/>
      <c r="U37" s="10"/>
      <c r="V37" s="10"/>
      <c r="W37" s="10"/>
      <c r="X37" s="10"/>
      <c r="Y37" s="10"/>
      <c r="Z37" s="10"/>
      <c r="AA37" s="10"/>
    </row>
    <row r="38" spans="1:27" ht="12.75">
      <c r="A38" s="10"/>
      <c r="B38" s="10"/>
      <c r="C38" s="10"/>
      <c r="D38" s="10"/>
      <c r="E38" s="10"/>
      <c r="F38" s="10"/>
      <c r="G38" s="10"/>
      <c r="H38" s="10"/>
      <c r="I38" s="10"/>
      <c r="J38" s="10"/>
      <c r="K38" s="10"/>
      <c r="Q38" s="10"/>
      <c r="R38" s="10"/>
      <c r="S38" s="10"/>
      <c r="T38" s="10"/>
      <c r="U38" s="10"/>
      <c r="V38" s="10"/>
      <c r="W38" s="10"/>
      <c r="X38" s="10"/>
      <c r="Y38" s="10"/>
      <c r="Z38" s="10"/>
      <c r="AA38" s="10"/>
    </row>
    <row r="39" spans="1:27" ht="12.75">
      <c r="A39" s="10" t="s">
        <v>337</v>
      </c>
      <c r="B39" s="10"/>
      <c r="C39" s="10"/>
      <c r="D39" s="10"/>
      <c r="E39" s="10"/>
      <c r="F39" s="10"/>
      <c r="G39" s="10"/>
      <c r="H39" s="10"/>
      <c r="I39" s="10"/>
      <c r="J39" s="10"/>
      <c r="K39" s="10"/>
      <c r="Q39" s="10"/>
      <c r="R39" s="10"/>
      <c r="S39" s="10"/>
      <c r="T39" s="10"/>
      <c r="U39" s="10"/>
      <c r="V39" s="10"/>
      <c r="W39" s="10"/>
      <c r="X39" s="10"/>
      <c r="Y39" s="10"/>
      <c r="Z39" s="10"/>
      <c r="AA39" s="10"/>
    </row>
    <row r="40" spans="1:27" ht="12.75">
      <c r="A40" s="10" t="s">
        <v>338</v>
      </c>
      <c r="B40" s="10"/>
      <c r="C40" s="10"/>
      <c r="D40" s="10"/>
      <c r="E40" s="10"/>
      <c r="F40" s="10"/>
      <c r="G40" s="10"/>
      <c r="H40" s="10"/>
      <c r="I40" s="10"/>
      <c r="J40" s="10"/>
      <c r="K40" s="10"/>
      <c r="Q40" s="10"/>
      <c r="R40" s="10"/>
      <c r="S40" s="10"/>
      <c r="T40" s="10"/>
      <c r="U40" s="10"/>
      <c r="V40" s="10"/>
      <c r="W40" s="10"/>
      <c r="X40" s="10"/>
      <c r="Y40" s="10"/>
      <c r="Z40" s="10"/>
      <c r="AA40" s="10"/>
    </row>
    <row r="41" spans="1:27" ht="12.75">
      <c r="A41" s="10" t="s">
        <v>339</v>
      </c>
      <c r="B41" s="10"/>
      <c r="C41" s="10"/>
      <c r="D41" s="10"/>
      <c r="E41" s="10"/>
      <c r="F41" s="10"/>
      <c r="G41" s="10"/>
      <c r="H41" s="10"/>
      <c r="I41" s="10"/>
      <c r="J41" s="10"/>
      <c r="K41" s="10"/>
      <c r="Q41" s="10"/>
      <c r="R41" s="10"/>
      <c r="S41" s="10"/>
      <c r="T41" s="10"/>
      <c r="U41" s="10"/>
      <c r="V41" s="10"/>
      <c r="W41" s="10"/>
      <c r="X41" s="10"/>
      <c r="Y41" s="10"/>
      <c r="Z41" s="10"/>
      <c r="AA41" s="10"/>
    </row>
    <row r="42" spans="1:27" ht="12.75">
      <c r="A42" s="10" t="s">
        <v>340</v>
      </c>
      <c r="B42" s="10"/>
      <c r="C42" s="10"/>
      <c r="D42" s="10"/>
      <c r="E42" s="10"/>
      <c r="F42" s="10"/>
      <c r="G42" s="10"/>
      <c r="H42" s="10"/>
      <c r="I42" s="10"/>
      <c r="J42" s="10"/>
      <c r="K42" s="10"/>
      <c r="Q42" s="10"/>
      <c r="R42" s="10"/>
      <c r="S42" s="10"/>
      <c r="T42" s="10"/>
      <c r="U42" s="10"/>
      <c r="V42" s="10"/>
      <c r="W42" s="10"/>
      <c r="X42" s="10"/>
      <c r="Y42" s="10"/>
      <c r="Z42" s="10"/>
      <c r="AA42" s="10"/>
    </row>
    <row r="43" spans="1:27" ht="12.75">
      <c r="A43" s="10" t="s">
        <v>344</v>
      </c>
      <c r="B43" s="10"/>
      <c r="C43" s="10"/>
      <c r="D43" s="10"/>
      <c r="E43" s="10"/>
      <c r="F43" s="10"/>
      <c r="G43" s="10"/>
      <c r="H43" s="10"/>
      <c r="I43" s="10"/>
      <c r="J43" s="10"/>
      <c r="K43" s="10"/>
      <c r="Q43" s="10"/>
      <c r="R43" s="10"/>
      <c r="S43" s="10"/>
      <c r="T43" s="10"/>
      <c r="U43" s="10"/>
      <c r="V43" s="10"/>
      <c r="W43" s="10"/>
      <c r="X43" s="10"/>
      <c r="Y43" s="10"/>
      <c r="Z43" s="10"/>
      <c r="AA43" s="10"/>
    </row>
    <row r="44" spans="1:27" ht="12.75">
      <c r="A44" s="10" t="s">
        <v>345</v>
      </c>
      <c r="B44" s="10"/>
      <c r="C44" s="10"/>
      <c r="D44" s="10"/>
      <c r="E44" s="10"/>
      <c r="F44" s="10"/>
      <c r="G44" s="10"/>
      <c r="H44" s="10"/>
      <c r="I44" s="10"/>
      <c r="J44" s="10"/>
      <c r="K44" s="10"/>
      <c r="Q44" s="10"/>
      <c r="R44" s="10"/>
      <c r="S44" s="10"/>
      <c r="T44" s="10"/>
      <c r="U44" s="10"/>
      <c r="V44" s="10"/>
      <c r="W44" s="10"/>
      <c r="X44" s="10"/>
      <c r="Y44" s="10"/>
      <c r="Z44" s="10"/>
      <c r="AA44" s="10"/>
    </row>
    <row r="45" spans="1:27" ht="12.75">
      <c r="A45" s="10"/>
      <c r="B45" s="10"/>
      <c r="C45" s="10"/>
      <c r="D45" s="10"/>
      <c r="E45" s="10"/>
      <c r="F45" s="10"/>
      <c r="G45" s="10"/>
      <c r="H45" s="10"/>
      <c r="I45" s="10"/>
      <c r="J45" s="10"/>
      <c r="K45" s="10"/>
      <c r="Q45" s="10"/>
      <c r="R45" s="10"/>
      <c r="S45" s="10"/>
      <c r="T45" s="10"/>
      <c r="U45" s="10"/>
      <c r="V45" s="10"/>
      <c r="W45" s="10"/>
      <c r="X45" s="10"/>
      <c r="Y45" s="10"/>
      <c r="Z45" s="10"/>
      <c r="AA45" s="10"/>
    </row>
    <row r="46" spans="1:27" ht="12.75">
      <c r="A46" s="10" t="s">
        <v>342</v>
      </c>
      <c r="B46" s="10"/>
      <c r="C46" s="10"/>
      <c r="D46" s="10"/>
      <c r="E46" s="10"/>
      <c r="F46" s="10"/>
      <c r="G46" s="10"/>
      <c r="H46" s="10"/>
      <c r="I46" s="10"/>
      <c r="J46" s="10"/>
      <c r="K46" s="10"/>
      <c r="Q46" s="10"/>
      <c r="R46" s="10"/>
      <c r="S46" s="10"/>
      <c r="T46" s="10"/>
      <c r="U46" s="10"/>
      <c r="V46" s="10"/>
      <c r="W46" s="10"/>
      <c r="X46" s="10"/>
      <c r="Y46" s="10"/>
      <c r="Z46" s="10"/>
      <c r="AA46" s="10"/>
    </row>
    <row r="47" spans="1:27" ht="12.75">
      <c r="A47" s="10" t="s">
        <v>343</v>
      </c>
      <c r="B47" s="10"/>
      <c r="C47" s="10"/>
      <c r="D47" s="10"/>
      <c r="E47" s="10"/>
      <c r="F47" s="10"/>
      <c r="G47" s="10"/>
      <c r="H47" s="10"/>
      <c r="I47" s="10"/>
      <c r="J47" s="10"/>
      <c r="K47" s="10"/>
      <c r="Q47" s="10"/>
      <c r="R47" s="10"/>
      <c r="S47" s="10"/>
      <c r="T47" s="10"/>
      <c r="U47" s="10"/>
      <c r="V47" s="10"/>
      <c r="W47" s="10"/>
      <c r="X47" s="10"/>
      <c r="Y47" s="10"/>
      <c r="Z47" s="10"/>
      <c r="AA47" s="10"/>
    </row>
    <row r="48" spans="1:11" ht="12.75">
      <c r="A48" s="10"/>
      <c r="B48" s="10"/>
      <c r="C48" s="10"/>
      <c r="D48" s="10"/>
      <c r="E48" s="10"/>
      <c r="F48" s="10"/>
      <c r="G48" s="10"/>
      <c r="H48" s="10"/>
      <c r="I48" s="10"/>
      <c r="J48" s="10"/>
      <c r="K48" s="10"/>
    </row>
    <row r="50" spans="1:4" ht="12.75">
      <c r="A50" s="31" t="s">
        <v>348</v>
      </c>
      <c r="B50" s="31"/>
      <c r="C50" s="31"/>
      <c r="D50" s="31"/>
    </row>
    <row r="51" spans="1:4" ht="12.75">
      <c r="A51" s="31" t="s">
        <v>356</v>
      </c>
      <c r="B51" s="31"/>
      <c r="C51" s="31"/>
      <c r="D51" s="31"/>
    </row>
    <row r="52" spans="1:4" ht="12.75">
      <c r="A52" s="31" t="s">
        <v>346</v>
      </c>
      <c r="B52" s="31"/>
      <c r="C52" s="31"/>
      <c r="D52" s="31"/>
    </row>
    <row r="53" spans="1:4" ht="12.75">
      <c r="A53" s="31" t="s">
        <v>347</v>
      </c>
      <c r="B53" s="31"/>
      <c r="C53" s="31"/>
      <c r="D53" s="31"/>
    </row>
    <row r="54" spans="1:4" ht="12.75">
      <c r="A54" s="31"/>
      <c r="B54" s="31"/>
      <c r="C54" s="31"/>
      <c r="D54" s="31"/>
    </row>
    <row r="55" spans="1:4" ht="12.75">
      <c r="A55" s="31" t="s">
        <v>350</v>
      </c>
      <c r="B55" s="31"/>
      <c r="C55" s="31"/>
      <c r="D55" s="31"/>
    </row>
    <row r="56" spans="1:4" ht="12.75">
      <c r="A56" s="31" t="s">
        <v>355</v>
      </c>
      <c r="B56" s="31"/>
      <c r="C56" s="31"/>
      <c r="D56" s="31"/>
    </row>
    <row r="57" spans="1:4" ht="12.75">
      <c r="A57" s="31" t="s">
        <v>346</v>
      </c>
      <c r="B57" s="31"/>
      <c r="C57" s="31"/>
      <c r="D57" s="31"/>
    </row>
    <row r="58" spans="1:4" ht="12.75">
      <c r="A58" s="31" t="s">
        <v>347</v>
      </c>
      <c r="B58" s="31"/>
      <c r="C58" s="31"/>
      <c r="D58" s="31"/>
    </row>
    <row r="60" ht="12.75">
      <c r="A60" s="31" t="s">
        <v>351</v>
      </c>
    </row>
    <row r="61" ht="12.75">
      <c r="A61" t="s">
        <v>357</v>
      </c>
    </row>
    <row r="63" ht="12.75">
      <c r="A63" t="s">
        <v>352</v>
      </c>
    </row>
    <row r="64" ht="12.75">
      <c r="A64" t="s">
        <v>358</v>
      </c>
    </row>
  </sheetData>
  <mergeCells count="4">
    <mergeCell ref="B4:C4"/>
    <mergeCell ref="A2:R2"/>
    <mergeCell ref="A1:R1"/>
    <mergeCell ref="A3:R3"/>
  </mergeCells>
  <printOptions/>
  <pageMargins left="0.91" right="0.31" top="0.84" bottom="1" header="0.5" footer="0.5"/>
  <pageSetup fitToHeight="1" fitToWidth="1" horizontalDpi="300" verticalDpi="300" orientation="landscape" scale="97"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3.xml><?xml version="1.0" encoding="utf-8"?>
<worksheet xmlns="http://schemas.openxmlformats.org/spreadsheetml/2006/main" xmlns:r="http://schemas.openxmlformats.org/officeDocument/2006/relationships">
  <sheetPr codeName="Sheet11"/>
  <dimension ref="A1:H50"/>
  <sheetViews>
    <sheetView showGridLines="0" workbookViewId="0" topLeftCell="A31">
      <selection activeCell="A1" sqref="A1:H1"/>
    </sheetView>
  </sheetViews>
  <sheetFormatPr defaultColWidth="9.140625" defaultRowHeight="12.75"/>
  <cols>
    <col min="1" max="1" width="3.8515625" style="99" customWidth="1"/>
    <col min="2" max="2" width="18.7109375" style="99" customWidth="1"/>
    <col min="3" max="4" width="10.140625" style="99" customWidth="1"/>
    <col min="5" max="5" width="10.00390625" style="99" customWidth="1"/>
    <col min="6" max="6" width="10.140625" style="99" bestFit="1" customWidth="1"/>
    <col min="7" max="7" width="10.140625" style="99" customWidth="1"/>
    <col min="8" max="8" width="10.140625" style="99" bestFit="1" customWidth="1"/>
    <col min="9" max="16384" width="9.140625" style="99" customWidth="1"/>
  </cols>
  <sheetData>
    <row r="1" spans="1:8" ht="15.75">
      <c r="A1" s="459" t="str">
        <f>'5th Year BS'!A1:I1</f>
        <v>Speedy B's LLC - NEW</v>
      </c>
      <c r="B1" s="460"/>
      <c r="C1" s="460"/>
      <c r="D1" s="460"/>
      <c r="E1" s="460"/>
      <c r="F1" s="460"/>
      <c r="G1" s="460"/>
      <c r="H1" s="461"/>
    </row>
    <row r="2" spans="1:8" ht="15.75">
      <c r="A2" s="430" t="str">
        <f>'5th Year BS'!A2:I2</f>
        <v>Balance Sheet</v>
      </c>
      <c r="B2" s="431"/>
      <c r="C2" s="431"/>
      <c r="D2" s="431"/>
      <c r="E2" s="431"/>
      <c r="F2" s="431"/>
      <c r="G2" s="431"/>
      <c r="H2" s="432"/>
    </row>
    <row r="3" spans="1:8" ht="15.75">
      <c r="A3" s="462" t="str">
        <f>+'IS consol'!A3:R3</f>
        <v>For Year Ending</v>
      </c>
      <c r="B3" s="463"/>
      <c r="C3" s="463"/>
      <c r="D3" s="463"/>
      <c r="E3" s="463"/>
      <c r="F3" s="463"/>
      <c r="G3" s="463"/>
      <c r="H3" s="464"/>
    </row>
    <row r="4" spans="1:8" ht="12.75">
      <c r="A4" s="145"/>
      <c r="B4" s="146"/>
      <c r="C4" s="300">
        <f>'B Balance sheet'!A4</f>
        <v>38961</v>
      </c>
      <c r="D4" s="301">
        <f>'1st Year BS'!A4</f>
        <v>39325</v>
      </c>
      <c r="E4" s="301">
        <f>'2nd Year BS'!A4</f>
        <v>39691</v>
      </c>
      <c r="F4" s="301">
        <f>'3rd Year BS'!A4</f>
        <v>40056</v>
      </c>
      <c r="G4" s="301">
        <f>'4th Year BS'!A4</f>
        <v>40421</v>
      </c>
      <c r="H4" s="302">
        <f>'5th Year BS'!A4</f>
        <v>40786</v>
      </c>
    </row>
    <row r="5" spans="1:8" ht="12.75">
      <c r="A5" s="69"/>
      <c r="B5" s="57"/>
      <c r="C5" s="148"/>
      <c r="D5" s="148"/>
      <c r="E5" s="148"/>
      <c r="F5" s="148"/>
      <c r="G5" s="148"/>
      <c r="H5" s="125"/>
    </row>
    <row r="6" spans="1:8" ht="12.75">
      <c r="A6" s="147" t="str">
        <f>'5th Year BS'!A6:I6</f>
        <v>ASSETS</v>
      </c>
      <c r="B6" s="57"/>
      <c r="C6" s="57"/>
      <c r="D6" s="57"/>
      <c r="E6" s="57"/>
      <c r="F6" s="57"/>
      <c r="G6" s="57"/>
      <c r="H6" s="70"/>
    </row>
    <row r="7" spans="1:8" ht="12.75">
      <c r="A7" s="69" t="str">
        <f>'5th Year BS'!A7:I7</f>
        <v>Current Assets</v>
      </c>
      <c r="B7" s="57"/>
      <c r="C7" s="57"/>
      <c r="D7" s="57"/>
      <c r="E7" s="57"/>
      <c r="F7" s="57"/>
      <c r="G7" s="57"/>
      <c r="H7" s="70"/>
    </row>
    <row r="8" spans="1:8" ht="12.75">
      <c r="A8" s="69"/>
      <c r="B8" s="57" t="str">
        <f>'5th Year BS'!B8:J8</f>
        <v>Cash</v>
      </c>
      <c r="C8" s="363">
        <f>'B Balance sheet'!C9</f>
        <v>20000</v>
      </c>
      <c r="D8" s="363">
        <f>'1st Year BS'!D8</f>
        <v>37253.600000000006</v>
      </c>
      <c r="E8" s="363">
        <f>'2nd Year BS'!D8</f>
        <v>52914.6583333333</v>
      </c>
      <c r="F8" s="363">
        <f>'3rd Year BS'!D8</f>
        <v>70620.49166666664</v>
      </c>
      <c r="G8" s="363">
        <f>'4th Year BS'!D8</f>
        <v>86707.99791666665</v>
      </c>
      <c r="H8" s="356">
        <f>'5th Year BS'!D8</f>
        <v>102775.63041666671</v>
      </c>
    </row>
    <row r="9" spans="1:8" ht="12.75">
      <c r="A9" s="69"/>
      <c r="B9" s="57" t="str">
        <f>'5th Year BS'!B9:J9</f>
        <v>Inventory</v>
      </c>
      <c r="C9" s="363">
        <f>'B Balance sheet'!C10</f>
        <v>4500</v>
      </c>
      <c r="D9" s="363">
        <f>'1st Year BS'!D9</f>
        <v>4500</v>
      </c>
      <c r="E9" s="363">
        <f>'2nd Year BS'!D9</f>
        <v>4500</v>
      </c>
      <c r="F9" s="363">
        <f>'3rd Year BS'!D9</f>
        <v>4500</v>
      </c>
      <c r="G9" s="363">
        <f>'4th Year BS'!D9</f>
        <v>4500</v>
      </c>
      <c r="H9" s="356">
        <f>'5th Year BS'!D9</f>
        <v>4500</v>
      </c>
    </row>
    <row r="10" spans="1:8" ht="12.75">
      <c r="A10" s="69"/>
      <c r="B10" s="57" t="str">
        <f>'5th Year BS'!B10:J10</f>
        <v>Account Receivable</v>
      </c>
      <c r="C10" s="363">
        <f>'B Balance sheet'!C11</f>
        <v>0</v>
      </c>
      <c r="D10" s="363">
        <f>'1st Year BS'!D10</f>
        <v>0</v>
      </c>
      <c r="E10" s="363">
        <f>'2nd Year BS'!D10</f>
        <v>0</v>
      </c>
      <c r="F10" s="363">
        <f>'3rd Year BS'!D10</f>
        <v>0</v>
      </c>
      <c r="G10" s="363">
        <f>'4th Year BS'!D10</f>
        <v>0</v>
      </c>
      <c r="H10" s="356">
        <f>'5th Year BS'!D10</f>
        <v>0</v>
      </c>
    </row>
    <row r="11" spans="1:8" ht="12.75">
      <c r="A11" s="69"/>
      <c r="B11" s="57" t="s">
        <v>115</v>
      </c>
      <c r="C11" s="363"/>
      <c r="D11" s="363">
        <f>'1st Year BS'!D11</f>
        <v>0</v>
      </c>
      <c r="E11" s="363">
        <f>'2nd Year BS'!D11</f>
        <v>0</v>
      </c>
      <c r="F11" s="363">
        <f>'3rd Year BS'!D11</f>
        <v>0.10833333335176576</v>
      </c>
      <c r="G11" s="363">
        <f>'4th Year BS'!D11</f>
        <v>0</v>
      </c>
      <c r="H11" s="356">
        <f>'5th Year BS'!D11</f>
        <v>-0.0020833333546761423</v>
      </c>
    </row>
    <row r="12" spans="1:8" ht="12.75">
      <c r="A12" s="69"/>
      <c r="B12" s="57" t="str">
        <f>'5th Year BS'!B12:J12</f>
        <v>Office Supplies</v>
      </c>
      <c r="C12" s="363">
        <f>'B Balance sheet'!C12</f>
        <v>0</v>
      </c>
      <c r="D12" s="363">
        <f>'1st Year BS'!D12</f>
        <v>0</v>
      </c>
      <c r="E12" s="363">
        <f>'2nd Year BS'!D12</f>
        <v>0</v>
      </c>
      <c r="F12" s="363">
        <f>'3rd Year BS'!D12</f>
        <v>0</v>
      </c>
      <c r="G12" s="363">
        <f>'4th Year BS'!D12</f>
        <v>0</v>
      </c>
      <c r="H12" s="356">
        <f>'5th Year BS'!D12</f>
        <v>0</v>
      </c>
    </row>
    <row r="13" spans="1:8" ht="12.75">
      <c r="A13" s="69"/>
      <c r="B13" s="57" t="s">
        <v>161</v>
      </c>
      <c r="C13" s="383">
        <f>'B Balance sheet'!C13</f>
        <v>0</v>
      </c>
      <c r="D13" s="383">
        <f>'1st Year BS'!D13</f>
        <v>0</v>
      </c>
      <c r="E13" s="383">
        <f>'2nd Year BS'!D13</f>
        <v>0</v>
      </c>
      <c r="F13" s="383">
        <f>'3rd Year BS'!D13</f>
        <v>0</v>
      </c>
      <c r="G13" s="383">
        <f>'4th Year BS'!D13</f>
        <v>0</v>
      </c>
      <c r="H13" s="357">
        <f>'5th Year BS'!D13</f>
        <v>0</v>
      </c>
    </row>
    <row r="14" spans="1:8" ht="12.75">
      <c r="A14" s="69" t="str">
        <f>'5th Year BS'!A14:I14</f>
        <v>     Total Current Assets</v>
      </c>
      <c r="B14" s="57"/>
      <c r="C14" s="363">
        <f>SUM(C8:C13)</f>
        <v>24500</v>
      </c>
      <c r="D14" s="363">
        <f>SUM(D8:D13)</f>
        <v>41753.600000000006</v>
      </c>
      <c r="E14" s="363">
        <f>'2nd Year BS'!D14</f>
        <v>57414.6583333333</v>
      </c>
      <c r="F14" s="363">
        <f>'3rd Year BS'!D14</f>
        <v>75120.59999999999</v>
      </c>
      <c r="G14" s="363">
        <f>'4th Year BS'!D14</f>
        <v>91207.99791666665</v>
      </c>
      <c r="H14" s="356">
        <f>'5th Year BS'!D14</f>
        <v>107275.62833333336</v>
      </c>
    </row>
    <row r="15" spans="1:8" ht="12.75">
      <c r="A15" s="69"/>
      <c r="B15" s="57"/>
      <c r="C15" s="363"/>
      <c r="D15" s="363"/>
      <c r="E15" s="363"/>
      <c r="F15" s="363"/>
      <c r="G15" s="363"/>
      <c r="H15" s="356"/>
    </row>
    <row r="16" spans="1:8" ht="12.75">
      <c r="A16" s="69"/>
      <c r="B16" s="57"/>
      <c r="C16" s="363"/>
      <c r="D16" s="363"/>
      <c r="E16" s="363"/>
      <c r="F16" s="363"/>
      <c r="G16" s="363"/>
      <c r="H16" s="356"/>
    </row>
    <row r="17" spans="1:8" ht="12.75">
      <c r="A17" s="69"/>
      <c r="B17" s="57" t="str">
        <f>'5th Year BS'!B17:J17</f>
        <v>Land</v>
      </c>
      <c r="C17" s="363">
        <f>'B Balance sheet'!C17</f>
        <v>0</v>
      </c>
      <c r="D17" s="363">
        <f>'1st Year BS'!D17</f>
        <v>0</v>
      </c>
      <c r="E17" s="363">
        <f>'2nd Year BS'!D17</f>
        <v>0</v>
      </c>
      <c r="F17" s="363">
        <f>'3rd Year BS'!D17</f>
        <v>0</v>
      </c>
      <c r="G17" s="363">
        <f>'4th Year BS'!D17</f>
        <v>0</v>
      </c>
      <c r="H17" s="356">
        <f>'5th Year BS'!D17</f>
        <v>0</v>
      </c>
    </row>
    <row r="18" spans="1:8" ht="12.75">
      <c r="A18" s="69"/>
      <c r="B18" s="57" t="str">
        <f>'5th Year BS'!B18:J18</f>
        <v>Buildings</v>
      </c>
      <c r="C18" s="363">
        <f>'B Balance sheet'!C18</f>
        <v>0</v>
      </c>
      <c r="D18" s="363">
        <f>'1st Year BS'!D18</f>
        <v>0</v>
      </c>
      <c r="E18" s="363">
        <f>'2nd Year BS'!D18</f>
        <v>0</v>
      </c>
      <c r="F18" s="363">
        <f>'3rd Year BS'!D18</f>
        <v>0</v>
      </c>
      <c r="G18" s="363">
        <f>'4th Year BS'!D18</f>
        <v>0</v>
      </c>
      <c r="H18" s="356">
        <f>'5th Year BS'!D18</f>
        <v>0</v>
      </c>
    </row>
    <row r="19" spans="1:8" ht="12.75">
      <c r="A19" s="69"/>
      <c r="B19" s="57" t="str">
        <f>'5th Year BS'!B19:J19</f>
        <v>Equipment</v>
      </c>
      <c r="C19" s="363">
        <f>'B Balance sheet'!C19</f>
        <v>30000</v>
      </c>
      <c r="D19" s="363">
        <f>'1st Year BS'!D19</f>
        <v>30000</v>
      </c>
      <c r="E19" s="363">
        <f>'2nd Year BS'!D19</f>
        <v>30000</v>
      </c>
      <c r="F19" s="363">
        <f>'3rd Year BS'!D19</f>
        <v>30000</v>
      </c>
      <c r="G19" s="363">
        <f>'4th Year BS'!D19</f>
        <v>30000</v>
      </c>
      <c r="H19" s="356">
        <f>'5th Year BS'!D19</f>
        <v>30000</v>
      </c>
    </row>
    <row r="20" spans="1:8" ht="12.75">
      <c r="A20" s="69"/>
      <c r="B20" s="57" t="str">
        <f>'5th Year BS'!B20:J20</f>
        <v>Other Fixed Assets</v>
      </c>
      <c r="C20" s="363">
        <f>'B Balance sheet'!C20</f>
        <v>25500</v>
      </c>
      <c r="D20" s="363">
        <f>'1st Year BS'!D20</f>
        <v>25500</v>
      </c>
      <c r="E20" s="363">
        <f>'2nd Year BS'!D20</f>
        <v>25500</v>
      </c>
      <c r="F20" s="363">
        <f>'3rd Year BS'!D20</f>
        <v>25500</v>
      </c>
      <c r="G20" s="363">
        <f>'4th Year BS'!D20</f>
        <v>25500</v>
      </c>
      <c r="H20" s="356">
        <f>'5th Year BS'!D20</f>
        <v>25500</v>
      </c>
    </row>
    <row r="21" spans="1:8" ht="12.75">
      <c r="A21" s="69"/>
      <c r="B21" s="57" t="str">
        <f>'5th Year BS'!B21:J21</f>
        <v>Accum Depreciation</v>
      </c>
      <c r="C21" s="383">
        <f>'B Balance sheet'!C21</f>
        <v>0</v>
      </c>
      <c r="D21" s="383">
        <f>'1st Year BS'!D21</f>
        <v>-11100</v>
      </c>
      <c r="E21" s="383">
        <f>'2nd Year BS'!D21</f>
        <v>-22200</v>
      </c>
      <c r="F21" s="383">
        <f>'3rd Year BS'!D21</f>
        <v>-33300</v>
      </c>
      <c r="G21" s="383">
        <f>'4th Year BS'!D21</f>
        <v>-44400</v>
      </c>
      <c r="H21" s="357">
        <f>'5th Year BS'!D21</f>
        <v>-55500</v>
      </c>
    </row>
    <row r="22" spans="1:8" ht="12.75">
      <c r="A22" s="69" t="str">
        <f>'5th Year BS'!A22:I22</f>
        <v> Total Net Fixed Assets</v>
      </c>
      <c r="B22" s="57"/>
      <c r="C22" s="363">
        <f>SUM(C17:C21)</f>
        <v>55500</v>
      </c>
      <c r="D22" s="363">
        <f>SUM(D17:D21)</f>
        <v>44400</v>
      </c>
      <c r="E22" s="363">
        <f>'2nd Year BS'!D22</f>
        <v>33300</v>
      </c>
      <c r="F22" s="363">
        <f>'3rd Year BS'!D22</f>
        <v>22200</v>
      </c>
      <c r="G22" s="363">
        <f>'4th Year BS'!D22</f>
        <v>11100</v>
      </c>
      <c r="H22" s="356">
        <f>'5th Year BS'!D22</f>
        <v>0</v>
      </c>
    </row>
    <row r="23" spans="1:8" ht="12.75">
      <c r="A23" s="69"/>
      <c r="B23" s="57"/>
      <c r="C23" s="363"/>
      <c r="D23" s="363"/>
      <c r="E23" s="363"/>
      <c r="F23" s="363"/>
      <c r="G23" s="363"/>
      <c r="H23" s="356"/>
    </row>
    <row r="24" spans="1:8" ht="12.75">
      <c r="A24" s="69"/>
      <c r="B24" s="57"/>
      <c r="C24" s="363"/>
      <c r="D24" s="363"/>
      <c r="E24" s="363"/>
      <c r="F24" s="363"/>
      <c r="G24" s="363"/>
      <c r="H24" s="356"/>
    </row>
    <row r="25" spans="1:8" ht="12.75">
      <c r="A25" s="69"/>
      <c r="B25" s="57"/>
      <c r="C25" s="363"/>
      <c r="D25" s="363"/>
      <c r="E25" s="363"/>
      <c r="F25" s="363"/>
      <c r="G25" s="363"/>
      <c r="H25" s="356"/>
    </row>
    <row r="26" spans="1:8" ht="13.5" thickBot="1">
      <c r="A26" s="69" t="str">
        <f>'5th Year BS'!A26:I26</f>
        <v>Total Assets</v>
      </c>
      <c r="B26" s="57"/>
      <c r="C26" s="384">
        <f>C14+C22</f>
        <v>80000</v>
      </c>
      <c r="D26" s="384">
        <f>D14+D22</f>
        <v>86153.6</v>
      </c>
      <c r="E26" s="384">
        <f>'2nd Year BS'!D26</f>
        <v>90714.6583333333</v>
      </c>
      <c r="F26" s="384">
        <f>'3rd Year BS'!D26</f>
        <v>97320.59999999999</v>
      </c>
      <c r="G26" s="384">
        <f>'4th Year BS'!D26</f>
        <v>102307.99791666665</v>
      </c>
      <c r="H26" s="385">
        <f>'5th Year BS'!D26</f>
        <v>107275.62833333336</v>
      </c>
    </row>
    <row r="27" spans="1:8" ht="13.5" thickTop="1">
      <c r="A27" s="69"/>
      <c r="B27" s="57"/>
      <c r="C27" s="363"/>
      <c r="D27" s="363"/>
      <c r="E27" s="363"/>
      <c r="F27" s="363"/>
      <c r="G27" s="363"/>
      <c r="H27" s="356"/>
    </row>
    <row r="28" spans="1:8" ht="12.75">
      <c r="A28" s="69"/>
      <c r="B28" s="57"/>
      <c r="C28" s="363"/>
      <c r="D28" s="363"/>
      <c r="E28" s="363"/>
      <c r="F28" s="363"/>
      <c r="G28" s="363"/>
      <c r="H28" s="356"/>
    </row>
    <row r="29" spans="1:8" ht="12.75">
      <c r="A29" s="147" t="str">
        <f>'5th Year BS'!F6</f>
        <v>LIABILITIES</v>
      </c>
      <c r="B29" s="57"/>
      <c r="C29" s="363"/>
      <c r="D29" s="363"/>
      <c r="E29" s="363"/>
      <c r="F29" s="363"/>
      <c r="G29" s="363"/>
      <c r="H29" s="356"/>
    </row>
    <row r="30" spans="1:8" ht="12.75">
      <c r="A30" s="69" t="str">
        <f>'5th Year BS'!F7</f>
        <v>Current Liabilities</v>
      </c>
      <c r="B30" s="57"/>
      <c r="C30" s="363"/>
      <c r="D30" s="363"/>
      <c r="E30" s="363"/>
      <c r="F30" s="363"/>
      <c r="G30" s="363"/>
      <c r="H30" s="356"/>
    </row>
    <row r="31" spans="1:8" ht="12.75">
      <c r="A31" s="69"/>
      <c r="B31" s="57" t="str">
        <f>'5th Year BS'!G8</f>
        <v>CPLTD</v>
      </c>
      <c r="C31" s="363">
        <f>'B Balance sheet'!H9</f>
        <v>8000</v>
      </c>
      <c r="D31" s="363">
        <f>'1st Year BS'!I8</f>
        <v>8664</v>
      </c>
      <c r="E31" s="363">
        <f>'2nd Year BS'!I8</f>
        <v>9383</v>
      </c>
      <c r="F31" s="363">
        <f>'3rd Year BS'!I8</f>
        <v>10161</v>
      </c>
      <c r="G31" s="363">
        <f>'4th Year BS'!I8</f>
        <v>11884</v>
      </c>
      <c r="H31" s="356">
        <f>'5th Year BS'!I8</f>
        <v>11919</v>
      </c>
    </row>
    <row r="32" spans="1:8" ht="12.75">
      <c r="A32" s="69"/>
      <c r="B32" s="57" t="str">
        <f>'5th Year BS'!G9</f>
        <v>Trade Payable</v>
      </c>
      <c r="C32" s="363">
        <f>'B Balance sheet'!H10</f>
        <v>0</v>
      </c>
      <c r="D32" s="363">
        <f>'1st Year BS'!I9</f>
        <v>0</v>
      </c>
      <c r="E32" s="363">
        <f>'2nd Year BS'!I9</f>
        <v>1152.2583333333314</v>
      </c>
      <c r="F32" s="363">
        <f>'3rd Year BS'!I9</f>
        <v>1209.8916666666628</v>
      </c>
      <c r="G32" s="363">
        <f>'4th Year BS'!I9</f>
        <v>1270.3979166666686</v>
      </c>
      <c r="H32" s="356">
        <f>'5th Year BS'!I9</f>
        <v>1333.9083333333547</v>
      </c>
    </row>
    <row r="33" spans="1:8" ht="12.75">
      <c r="A33" s="69"/>
      <c r="B33" s="57" t="str">
        <f>'5th Year BS'!G10</f>
        <v>Accrued Salary</v>
      </c>
      <c r="C33" s="363">
        <f>'B Balance sheet'!H11</f>
        <v>0</v>
      </c>
      <c r="D33" s="363">
        <f>'1st Year BS'!I10</f>
        <v>0</v>
      </c>
      <c r="E33" s="363">
        <f>'2nd Year BS'!I10</f>
        <v>0</v>
      </c>
      <c r="F33" s="363">
        <f>'3rd Year BS'!I10</f>
        <v>0</v>
      </c>
      <c r="G33" s="363">
        <f>'4th Year BS'!I10</f>
        <v>0</v>
      </c>
      <c r="H33" s="356">
        <f>'5th Year BS'!I10</f>
        <v>0</v>
      </c>
    </row>
    <row r="34" spans="1:8" ht="12.75">
      <c r="A34" s="69"/>
      <c r="B34" s="57" t="str">
        <f>'5th Year BS'!G11</f>
        <v>Taxes Payable</v>
      </c>
      <c r="C34" s="363">
        <f>'B Balance sheet'!H12</f>
        <v>0</v>
      </c>
      <c r="D34" s="363">
        <f>'1st Year BS'!I11</f>
        <v>0</v>
      </c>
      <c r="E34" s="363">
        <f>'2nd Year BS'!I11</f>
        <v>0</v>
      </c>
      <c r="F34" s="363">
        <f>'3rd Year BS'!I11</f>
        <v>0</v>
      </c>
      <c r="G34" s="363">
        <f>'4th Year BS'!I11</f>
        <v>0</v>
      </c>
      <c r="H34" s="356">
        <f>'5th Year BS'!I11</f>
        <v>0</v>
      </c>
    </row>
    <row r="35" spans="1:8" ht="12.75">
      <c r="A35" s="69"/>
      <c r="B35" s="57" t="str">
        <f>'5th Year BS'!G12</f>
        <v>Other</v>
      </c>
      <c r="C35" s="383">
        <f>'B Balance sheet'!H13</f>
        <v>0</v>
      </c>
      <c r="D35" s="383">
        <f>'1st Year BS'!I12</f>
        <v>0</v>
      </c>
      <c r="E35" s="383">
        <f>'2nd Year BS'!I12</f>
        <v>0</v>
      </c>
      <c r="F35" s="383">
        <f>'3rd Year BS'!I12</f>
        <v>0</v>
      </c>
      <c r="G35" s="383">
        <f>'4th Year BS'!I12</f>
        <v>0</v>
      </c>
      <c r="H35" s="357">
        <f>'5th Year BS'!I12</f>
        <v>0</v>
      </c>
    </row>
    <row r="36" spans="1:8" ht="12.75">
      <c r="A36" s="69"/>
      <c r="B36" s="57"/>
      <c r="C36" s="363"/>
      <c r="D36" s="363"/>
      <c r="E36" s="363"/>
      <c r="F36" s="363"/>
      <c r="G36" s="363"/>
      <c r="H36" s="356"/>
    </row>
    <row r="37" spans="1:8" ht="12.75">
      <c r="A37" s="69" t="str">
        <f>'5th Year BS'!F14</f>
        <v>   Total Current Liabilities</v>
      </c>
      <c r="B37" s="57"/>
      <c r="C37" s="363">
        <f>SUM(C31:C36)</f>
        <v>8000</v>
      </c>
      <c r="D37" s="363">
        <f>SUM(D31:D36)</f>
        <v>8664</v>
      </c>
      <c r="E37" s="363">
        <f>'2nd Year BS'!I14</f>
        <v>10535.258333333331</v>
      </c>
      <c r="F37" s="363">
        <f>'3rd Year BS'!I14</f>
        <v>11371</v>
      </c>
      <c r="G37" s="363">
        <f>'4th Year BS'!I14</f>
        <v>13154.397916666669</v>
      </c>
      <c r="H37" s="356">
        <f>'5th Year BS'!I14</f>
        <v>13252.908333333355</v>
      </c>
    </row>
    <row r="38" spans="1:8" ht="12.75">
      <c r="A38" s="69"/>
      <c r="B38" s="57"/>
      <c r="C38" s="363"/>
      <c r="D38" s="363"/>
      <c r="E38" s="363"/>
      <c r="F38" s="363"/>
      <c r="G38" s="363"/>
      <c r="H38" s="356"/>
    </row>
    <row r="39" spans="1:8" ht="12.75">
      <c r="A39" s="69" t="str">
        <f>'5th Year BS'!F16</f>
        <v>Long Term Liabilities</v>
      </c>
      <c r="B39" s="57"/>
      <c r="C39" s="363"/>
      <c r="D39" s="363"/>
      <c r="E39" s="363"/>
      <c r="F39" s="363"/>
      <c r="G39" s="363"/>
      <c r="H39" s="356"/>
    </row>
    <row r="40" spans="1:8" ht="12.75">
      <c r="A40" s="69"/>
      <c r="B40" s="57" t="str">
        <f>'5th Year BS'!G17</f>
        <v>Term Debt LTP</v>
      </c>
      <c r="C40" s="363">
        <f>'B Balance sheet'!H17</f>
        <v>64000</v>
      </c>
      <c r="D40" s="363">
        <f>'1st Year BS'!I17</f>
        <v>55336</v>
      </c>
      <c r="E40" s="363">
        <f>'2nd Year BS'!I17</f>
        <v>45953</v>
      </c>
      <c r="F40" s="363">
        <f>'3rd Year BS'!I17</f>
        <v>35792</v>
      </c>
      <c r="G40" s="363">
        <f>'4th Year BS'!I17</f>
        <v>23908</v>
      </c>
      <c r="H40" s="356">
        <f>'5th Year BS'!I17</f>
        <v>12867</v>
      </c>
    </row>
    <row r="41" spans="1:8" ht="12.75">
      <c r="A41" s="69"/>
      <c r="B41" s="57" t="str">
        <f>'5th Year BS'!G18</f>
        <v>Other</v>
      </c>
      <c r="C41" s="383">
        <f>'B Balance sheet'!H18</f>
        <v>0</v>
      </c>
      <c r="D41" s="383">
        <f>'1st Year BS'!I18</f>
        <v>0</v>
      </c>
      <c r="E41" s="383">
        <f>'2nd Year BS'!I18</f>
        <v>0</v>
      </c>
      <c r="F41" s="383">
        <f>'3rd Year BS'!I18</f>
        <v>0</v>
      </c>
      <c r="G41" s="383">
        <f>'4th Year BS'!I18</f>
        <v>0</v>
      </c>
      <c r="H41" s="357">
        <f>'5th Year BS'!I18</f>
        <v>0</v>
      </c>
    </row>
    <row r="42" spans="1:8" ht="12.75">
      <c r="A42" s="69" t="str">
        <f>'5th Year BS'!F19</f>
        <v>   Total Long Term Liabilities</v>
      </c>
      <c r="B42" s="57"/>
      <c r="C42" s="363">
        <f>SUM(C40:C41)</f>
        <v>64000</v>
      </c>
      <c r="D42" s="363">
        <f>SUM(D40:D41)</f>
        <v>55336</v>
      </c>
      <c r="E42" s="363">
        <f>SUM(E40:E41)</f>
        <v>45953</v>
      </c>
      <c r="F42" s="363">
        <f>SUM(F40:F41)</f>
        <v>35792</v>
      </c>
      <c r="G42" s="363">
        <f>SUM(G40:G41)</f>
        <v>23908</v>
      </c>
      <c r="H42" s="356">
        <f>'5th Year BS'!I19</f>
        <v>12867</v>
      </c>
    </row>
    <row r="43" spans="1:8" ht="12.75">
      <c r="A43" s="69"/>
      <c r="B43" s="57"/>
      <c r="C43" s="363"/>
      <c r="D43" s="363"/>
      <c r="E43" s="363"/>
      <c r="F43" s="363"/>
      <c r="G43" s="363"/>
      <c r="H43" s="356"/>
    </row>
    <row r="44" spans="1:8" ht="12.75">
      <c r="A44" s="69" t="str">
        <f>'5th Year BS'!F21</f>
        <v>Total Liabilities</v>
      </c>
      <c r="B44" s="57"/>
      <c r="C44" s="363">
        <f aca="true" t="shared" si="0" ref="C44:H44">C37+C42</f>
        <v>72000</v>
      </c>
      <c r="D44" s="363">
        <f t="shared" si="0"/>
        <v>64000</v>
      </c>
      <c r="E44" s="363">
        <f t="shared" si="0"/>
        <v>56488.25833333333</v>
      </c>
      <c r="F44" s="363">
        <f t="shared" si="0"/>
        <v>47163</v>
      </c>
      <c r="G44" s="363">
        <f t="shared" si="0"/>
        <v>37062.39791666667</v>
      </c>
      <c r="H44" s="356">
        <f t="shared" si="0"/>
        <v>26119.908333333355</v>
      </c>
    </row>
    <row r="45" spans="1:8" ht="12.75">
      <c r="A45" s="69"/>
      <c r="B45" s="57"/>
      <c r="C45" s="363"/>
      <c r="D45" s="363"/>
      <c r="E45" s="363"/>
      <c r="F45" s="363"/>
      <c r="G45" s="363"/>
      <c r="H45" s="356"/>
    </row>
    <row r="46" spans="1:8" ht="12.75">
      <c r="A46" s="147" t="str">
        <f>'5th Year BS'!F23</f>
        <v>OWNERS EQUITY</v>
      </c>
      <c r="B46" s="57"/>
      <c r="C46" s="363"/>
      <c r="D46" s="363"/>
      <c r="E46" s="363"/>
      <c r="F46" s="363"/>
      <c r="G46" s="363"/>
      <c r="H46" s="356"/>
    </row>
    <row r="47" spans="1:8" ht="12.75">
      <c r="A47" s="69"/>
      <c r="B47" s="57" t="str">
        <f>'5th Year BS'!G24</f>
        <v>Capital</v>
      </c>
      <c r="C47" s="363">
        <f>'B Balance sheet'!H23</f>
        <v>8000</v>
      </c>
      <c r="D47" s="363">
        <f>'1st Year BS'!I24</f>
        <v>34153.6</v>
      </c>
      <c r="E47" s="363">
        <f>'2nd Year BS'!I24</f>
        <v>52226.399999999994</v>
      </c>
      <c r="F47" s="363">
        <f>'3rd Year BS'!I24</f>
        <v>68157.59999999999</v>
      </c>
      <c r="G47" s="363">
        <f>'4th Year BS'!I24</f>
        <v>91245.59999999999</v>
      </c>
      <c r="H47" s="356">
        <f>'5th Year BS'!I24</f>
        <v>111155.72</v>
      </c>
    </row>
    <row r="48" spans="1:8" ht="12.75">
      <c r="A48" s="69" t="str">
        <f>'5th Year BS'!F25</f>
        <v>  Total Owners Equity</v>
      </c>
      <c r="B48" s="57"/>
      <c r="C48" s="363">
        <f>'B Balance sheet'!H24</f>
        <v>8000</v>
      </c>
      <c r="D48" s="363">
        <f>'1st Year BS'!I25</f>
        <v>22153.6</v>
      </c>
      <c r="E48" s="363">
        <f>'2nd Year BS'!I25</f>
        <v>34226.399999999994</v>
      </c>
      <c r="F48" s="363">
        <f>'3rd Year BS'!I25</f>
        <v>50157.59999999999</v>
      </c>
      <c r="G48" s="363">
        <f>'4th Year BS'!I25</f>
        <v>65245.59999999999</v>
      </c>
      <c r="H48" s="356">
        <f>'5th Year BS'!I25</f>
        <v>81155.72</v>
      </c>
    </row>
    <row r="49" spans="1:8" ht="13.5" thickBot="1">
      <c r="A49" s="69" t="str">
        <f>'5th Year BS'!F26</f>
        <v>Total Liabilities and Owners Equity</v>
      </c>
      <c r="B49" s="57"/>
      <c r="C49" s="384">
        <f aca="true" t="shared" si="1" ref="C49:H49">C44+C48</f>
        <v>80000</v>
      </c>
      <c r="D49" s="384">
        <f t="shared" si="1"/>
        <v>86153.6</v>
      </c>
      <c r="E49" s="384">
        <f t="shared" si="1"/>
        <v>90714.65833333333</v>
      </c>
      <c r="F49" s="384">
        <f t="shared" si="1"/>
        <v>97320.59999999999</v>
      </c>
      <c r="G49" s="384">
        <f t="shared" si="1"/>
        <v>102307.99791666666</v>
      </c>
      <c r="H49" s="385">
        <f t="shared" si="1"/>
        <v>107275.62833333336</v>
      </c>
    </row>
    <row r="50" spans="1:8" ht="13.5" thickTop="1">
      <c r="A50" s="151"/>
      <c r="B50" s="148"/>
      <c r="C50" s="148"/>
      <c r="D50" s="148"/>
      <c r="E50" s="148"/>
      <c r="F50" s="148"/>
      <c r="G50" s="148"/>
      <c r="H50" s="125"/>
    </row>
  </sheetData>
  <mergeCells count="3">
    <mergeCell ref="A1:H1"/>
    <mergeCell ref="A2:H2"/>
    <mergeCell ref="A3:H3"/>
  </mergeCells>
  <printOptions/>
  <pageMargins left="0.9" right="0.26" top="0.47" bottom="1"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4.xml><?xml version="1.0" encoding="utf-8"?>
<worksheet xmlns="http://schemas.openxmlformats.org/spreadsheetml/2006/main" xmlns:r="http://schemas.openxmlformats.org/officeDocument/2006/relationships">
  <dimension ref="A1:J27"/>
  <sheetViews>
    <sheetView workbookViewId="0" topLeftCell="A13">
      <selection activeCell="H6" sqref="H6"/>
    </sheetView>
  </sheetViews>
  <sheetFormatPr defaultColWidth="9.140625" defaultRowHeight="12.75"/>
  <cols>
    <col min="1" max="1" width="18.8515625" style="0" customWidth="1"/>
    <col min="3" max="3" width="10.28125" style="0" bestFit="1" customWidth="1"/>
  </cols>
  <sheetData>
    <row r="1" spans="1:7" ht="15.75">
      <c r="A1" s="459" t="str">
        <f>'5th Year BS'!A1:I1</f>
        <v>Speedy B's LLC - NEW</v>
      </c>
      <c r="B1" s="460"/>
      <c r="C1" s="460"/>
      <c r="D1" s="460"/>
      <c r="E1" s="460"/>
      <c r="F1" s="460"/>
      <c r="G1" s="461"/>
    </row>
    <row r="2" spans="1:7" ht="15.75">
      <c r="A2" s="430" t="s">
        <v>273</v>
      </c>
      <c r="B2" s="431"/>
      <c r="C2" s="431"/>
      <c r="D2" s="431"/>
      <c r="E2" s="431"/>
      <c r="F2" s="431"/>
      <c r="G2" s="432"/>
    </row>
    <row r="3" spans="1:7" ht="15.75">
      <c r="A3" s="462" t="str">
        <f>+'BS consol'!A3:H3</f>
        <v>For Year Ending</v>
      </c>
      <c r="B3" s="463"/>
      <c r="C3" s="463"/>
      <c r="D3" s="463"/>
      <c r="E3" s="463"/>
      <c r="F3" s="463"/>
      <c r="G3" s="464"/>
    </row>
    <row r="4" spans="1:7" ht="12.75">
      <c r="A4" s="145"/>
      <c r="B4" s="212" t="s">
        <v>274</v>
      </c>
      <c r="C4" s="301">
        <f>'1st Year BS'!A4</f>
        <v>39325</v>
      </c>
      <c r="D4" s="301">
        <f>'2nd Year BS'!A4</f>
        <v>39691</v>
      </c>
      <c r="E4" s="301">
        <f>'3rd Year BS'!A4</f>
        <v>40056</v>
      </c>
      <c r="F4" s="301">
        <f>'4th Year BS'!A4</f>
        <v>40421</v>
      </c>
      <c r="G4" s="302">
        <f>'5th Year BS'!A4</f>
        <v>40786</v>
      </c>
    </row>
    <row r="5" spans="1:7" ht="12.75">
      <c r="A5" s="69"/>
      <c r="B5" s="231" t="s">
        <v>275</v>
      </c>
      <c r="C5" s="231" t="s">
        <v>303</v>
      </c>
      <c r="D5" s="148"/>
      <c r="E5" s="148"/>
      <c r="F5" s="148"/>
      <c r="G5" s="125"/>
    </row>
    <row r="6" spans="1:7" ht="12.75">
      <c r="A6" s="147" t="s">
        <v>120</v>
      </c>
      <c r="B6" s="57"/>
      <c r="C6" s="57"/>
      <c r="D6" s="57"/>
      <c r="E6" s="57"/>
      <c r="F6" s="57"/>
      <c r="G6" s="70"/>
    </row>
    <row r="7" spans="1:7" ht="12.75">
      <c r="A7" s="69" t="s">
        <v>93</v>
      </c>
      <c r="B7" s="155"/>
      <c r="C7" s="155"/>
      <c r="D7" s="155"/>
      <c r="E7" s="155"/>
      <c r="F7" s="155"/>
      <c r="G7" s="156"/>
    </row>
    <row r="8" spans="1:10" ht="12.75">
      <c r="A8" s="69" t="s">
        <v>121</v>
      </c>
      <c r="B8" s="232">
        <v>0.7</v>
      </c>
      <c r="C8" s="235">
        <f>+'1st Year BS'!D14/'1st Year BS'!I14/B8</f>
        <v>6.884579870729456</v>
      </c>
      <c r="D8" s="235">
        <f>+'2nd Year BS'!D14/'2nd Year BS'!I14/B8</f>
        <v>7.785375344492306</v>
      </c>
      <c r="E8" s="235">
        <f>+'3rd Year BS'!D14/'3rd Year BS'!I14/B8</f>
        <v>9.437616995615413</v>
      </c>
      <c r="F8" s="235">
        <f>+'4th Year BS'!D14/'4th Year BS'!I14/B8</f>
        <v>9.905215024388568</v>
      </c>
      <c r="G8" s="236">
        <f>+'5th Year BS'!D14/'5th Year BS'!I14/B8</f>
        <v>11.563567314020814</v>
      </c>
      <c r="H8" t="s">
        <v>327</v>
      </c>
      <c r="I8" s="232">
        <v>0.7</v>
      </c>
      <c r="J8" t="s">
        <v>328</v>
      </c>
    </row>
    <row r="9" spans="1:10" ht="12.75">
      <c r="A9" s="69" t="s">
        <v>122</v>
      </c>
      <c r="B9" s="232">
        <v>0.4</v>
      </c>
      <c r="C9" s="235">
        <f>(+'1st Year BS'!D8+'1st Year BS'!D10+'1st Year BS'!D11)/'1st Year BS'!I14/B9</f>
        <v>10.749538319482918</v>
      </c>
      <c r="D9" s="235">
        <f>(+'2nd Year BS'!D8+'2nd Year BS'!D10)/'2nd Year BS'!I14/B9</f>
        <v>12.556564029833147</v>
      </c>
      <c r="E9" s="235">
        <f>(+'3rd Year BS'!D8+'3rd Year BS'!D10)/'3rd Year BS'!I14/B9</f>
        <v>15.526447028991873</v>
      </c>
      <c r="F9" s="235">
        <f>(+'4th Year BS'!D8+'4th Year BS'!D10)/'4th Year BS'!I14/B9</f>
        <v>16.478899008902435</v>
      </c>
      <c r="G9" s="236" t="e">
        <f>+'5th Year BS'!D15/'5th Year BS'!I15/B9</f>
        <v>#DIV/0!</v>
      </c>
      <c r="H9" t="s">
        <v>329</v>
      </c>
      <c r="I9" s="232">
        <v>0.4</v>
      </c>
      <c r="J9" t="s">
        <v>328</v>
      </c>
    </row>
    <row r="10" spans="1:10" ht="12.75">
      <c r="A10" s="69" t="s">
        <v>129</v>
      </c>
      <c r="B10" s="233">
        <v>0</v>
      </c>
      <c r="C10" s="235" t="e">
        <f>+'1st Year BS'!D10/'1st year Income stmt'!N8*365/B10</f>
        <v>#DIV/0!</v>
      </c>
      <c r="D10" s="235" t="e">
        <f>+'2nd Year BS'!D10/'2nd Year IS'!F7*365/B10</f>
        <v>#DIV/0!</v>
      </c>
      <c r="E10" s="235" t="e">
        <f>+'3rd Year BS'!D10/'3rd Year IS'!F7*365/B10</f>
        <v>#DIV/0!</v>
      </c>
      <c r="F10" s="235" t="e">
        <f>+'4th Year BS'!D10/'4th Year IS'!B7*365/B10</f>
        <v>#DIV/0!</v>
      </c>
      <c r="G10" s="236" t="e">
        <f>+'5th Year BS'!D10/'5th Year IS'!B7*365/B10</f>
        <v>#DIV/0!</v>
      </c>
      <c r="H10" t="s">
        <v>93</v>
      </c>
      <c r="I10" s="233">
        <v>0</v>
      </c>
      <c r="J10" t="s">
        <v>330</v>
      </c>
    </row>
    <row r="11" spans="1:10" ht="12.75">
      <c r="A11" s="69" t="s">
        <v>130</v>
      </c>
      <c r="B11" s="233">
        <v>10</v>
      </c>
      <c r="C11" s="235">
        <f>+'1st Year BS'!D9/'1st year Income stmt'!N9*365/B11</f>
        <v>2.1830143540669855</v>
      </c>
      <c r="D11" s="235">
        <f>+'2nd Year BS'!D9/'2nd Year IS'!F10*365/B11</f>
        <v>2.0787718476706365</v>
      </c>
      <c r="E11" s="235">
        <f>+'3rd Year BS'!D9/'3rd Year IS'!F10*365/B11</f>
        <v>1.9797743599633573</v>
      </c>
      <c r="F11" s="235">
        <f>+'4th Year BS'!D9/'4th Year IS'!B10*365/B11</f>
        <v>1.8854820750060266</v>
      </c>
      <c r="G11" s="236">
        <f>+'5th Year BS'!D9/'5th Year IS'!B10*365/B11</f>
        <v>1.7957099750732497</v>
      </c>
      <c r="I11" s="233">
        <v>10</v>
      </c>
      <c r="J11" t="s">
        <v>330</v>
      </c>
    </row>
    <row r="12" spans="1:10" ht="12.75">
      <c r="A12" s="69" t="s">
        <v>131</v>
      </c>
      <c r="B12" s="233">
        <v>21</v>
      </c>
      <c r="C12" s="235">
        <f>+'1st Year BS'!I9/'1st year Income stmt'!N9*365/B12</f>
        <v>0</v>
      </c>
      <c r="D12" s="235">
        <f>+'2nd Year BS'!I9/'2nd Year IS'!F10*365/B12</f>
        <v>0.25346901424097534</v>
      </c>
      <c r="E12" s="235">
        <f>+'3rd Year BS'!I9/'3rd Year IS'!F10*365/B12</f>
        <v>0.25347222222222143</v>
      </c>
      <c r="F12" s="235">
        <f>+'4th Year BS'!I9/'4th Year IS'!B10*365/B12</f>
        <v>0.2534722222222226</v>
      </c>
      <c r="G12" s="236">
        <f>+'5th Year BS'!I9/'5th Year IS'!B10*365/B12</f>
        <v>0.25347222222222626</v>
      </c>
      <c r="I12" s="233">
        <v>21</v>
      </c>
      <c r="J12" t="s">
        <v>331</v>
      </c>
    </row>
    <row r="13" spans="1:9" ht="12.75">
      <c r="A13" s="69"/>
      <c r="B13" s="148"/>
      <c r="C13" s="148"/>
      <c r="D13" s="148"/>
      <c r="E13" s="148"/>
      <c r="F13" s="148"/>
      <c r="G13" s="125"/>
      <c r="I13" s="148"/>
    </row>
    <row r="14" spans="1:9" ht="12.75">
      <c r="A14" s="69"/>
      <c r="B14" s="57"/>
      <c r="C14" s="57"/>
      <c r="D14" s="57"/>
      <c r="E14" s="57"/>
      <c r="F14" s="57"/>
      <c r="G14" s="70"/>
      <c r="I14" s="57"/>
    </row>
    <row r="15" spans="1:9" ht="12.75">
      <c r="A15" s="147" t="s">
        <v>123</v>
      </c>
      <c r="B15" s="57"/>
      <c r="C15" s="57"/>
      <c r="D15" s="57"/>
      <c r="E15" s="57"/>
      <c r="F15" s="57"/>
      <c r="G15" s="70"/>
      <c r="I15" s="57"/>
    </row>
    <row r="16" spans="1:9" ht="12.75">
      <c r="A16" s="69"/>
      <c r="B16" s="57"/>
      <c r="C16" s="57"/>
      <c r="D16" s="57"/>
      <c r="E16" s="57"/>
      <c r="F16" s="57"/>
      <c r="G16" s="70"/>
      <c r="I16" s="57"/>
    </row>
    <row r="17" spans="1:10" ht="12.75">
      <c r="A17" s="69" t="s">
        <v>124</v>
      </c>
      <c r="B17" s="234">
        <v>5.5</v>
      </c>
      <c r="C17" s="235">
        <f>+'1st Year BS'!I21/'1st Year BS'!I25/B17</f>
        <v>0.5252583614565415</v>
      </c>
      <c r="D17" s="235">
        <f>+'2nd Year BS'!I21/'2nd Year BS'!I25/B17</f>
        <v>0.30007808078683196</v>
      </c>
      <c r="E17" s="235">
        <f>+'3rd Year BS'!I21/'3rd Year BS'!I25/B17</f>
        <v>0.17096294298552783</v>
      </c>
      <c r="F17" s="235">
        <f>+'4th Year BS'!I21/'4th Year BS'!I25/B17</f>
        <v>0.10328080059084911</v>
      </c>
      <c r="G17" s="236">
        <f>+'5th Year BS'!I21/'5th Year BS'!I25/B17</f>
        <v>0.05851804706340165</v>
      </c>
      <c r="H17" t="s">
        <v>332</v>
      </c>
      <c r="I17" s="234">
        <v>5.5</v>
      </c>
      <c r="J17" t="s">
        <v>330</v>
      </c>
    </row>
    <row r="18" spans="1:10" ht="12.75">
      <c r="A18" s="63" t="s">
        <v>132</v>
      </c>
      <c r="B18" s="234">
        <v>7</v>
      </c>
      <c r="C18" s="235">
        <f>+'1st Year BS'!I21/'1st Year BS'!D26/B18</f>
        <v>0.10612275218745523</v>
      </c>
      <c r="D18" s="235">
        <f>+'2nd Year BS'!I21/'2nd Year BS'!D26/B18</f>
        <v>0.08895752173616403</v>
      </c>
      <c r="E18" s="235">
        <f>+'3rd Year BS'!I21/'3rd Year BS'!D26/B18</f>
        <v>0.0692306811566249</v>
      </c>
      <c r="F18" s="235">
        <f>+'4th Year BS'!I21/'4th Year BS'!D26/B18</f>
        <v>0.051751851093031646</v>
      </c>
      <c r="G18" s="236">
        <f>+'5th Year BS'!I21/'5th Year BS'!D26/B18</f>
        <v>0.03478344088180028</v>
      </c>
      <c r="H18" t="s">
        <v>333</v>
      </c>
      <c r="I18" s="234">
        <v>7</v>
      </c>
      <c r="J18" t="s">
        <v>330</v>
      </c>
    </row>
    <row r="19" spans="1:9" ht="12.75">
      <c r="A19" s="69"/>
      <c r="B19" s="155"/>
      <c r="C19" s="155"/>
      <c r="D19" s="155"/>
      <c r="E19" s="155"/>
      <c r="F19" s="155"/>
      <c r="G19" s="156"/>
      <c r="I19" s="155"/>
    </row>
    <row r="20" spans="1:9" ht="12.75">
      <c r="A20" s="69"/>
      <c r="B20" s="155"/>
      <c r="C20" s="155"/>
      <c r="D20" s="155"/>
      <c r="E20" s="155"/>
      <c r="F20" s="155"/>
      <c r="G20" s="156"/>
      <c r="H20" s="69"/>
      <c r="I20" s="155"/>
    </row>
    <row r="21" spans="1:9" ht="12.75">
      <c r="A21" s="69"/>
      <c r="B21" s="161"/>
      <c r="C21" s="161"/>
      <c r="D21" s="161"/>
      <c r="E21" s="161"/>
      <c r="F21" s="161"/>
      <c r="G21" s="162"/>
      <c r="I21" s="161"/>
    </row>
    <row r="22" spans="1:9" ht="12.75">
      <c r="A22" s="69"/>
      <c r="B22" s="155"/>
      <c r="C22" s="155"/>
      <c r="D22" s="155"/>
      <c r="E22" s="155"/>
      <c r="F22" s="155"/>
      <c r="G22" s="156"/>
      <c r="I22" s="155"/>
    </row>
    <row r="23" spans="1:9" ht="12.75">
      <c r="A23" s="147" t="s">
        <v>125</v>
      </c>
      <c r="B23" s="155"/>
      <c r="C23" s="155"/>
      <c r="D23" s="155"/>
      <c r="E23" s="155"/>
      <c r="F23" s="155"/>
      <c r="G23" s="156"/>
      <c r="I23" s="155"/>
    </row>
    <row r="24" spans="1:9" ht="12.75">
      <c r="A24" s="69"/>
      <c r="B24" s="155"/>
      <c r="C24" s="155"/>
      <c r="D24" s="155"/>
      <c r="E24" s="155"/>
      <c r="F24" s="155"/>
      <c r="G24" s="156"/>
      <c r="I24" s="155"/>
    </row>
    <row r="25" spans="1:10" ht="12.75">
      <c r="A25" s="69" t="s">
        <v>128</v>
      </c>
      <c r="B25" s="232">
        <v>0.333</v>
      </c>
      <c r="C25" s="235">
        <f>+'1st year Income stmt'!N29/'1st Year BS'!I25/B25</f>
        <v>4.431522378944018</v>
      </c>
      <c r="D25" s="235">
        <f>+'2nd Year IS'!F30/'2nd Year BS'!I25/B25</f>
        <v>3.2982109098790957</v>
      </c>
      <c r="E25" s="235">
        <f>+'3rd Year IS'!F30/'3rd Year BS'!I25/B25</f>
        <v>2.539383251379041</v>
      </c>
      <c r="F25" s="235">
        <f>+'4th Year IS'!B30/'4th Year BS'!I25/B25</f>
        <v>2.3639024583149553</v>
      </c>
      <c r="G25" s="236">
        <f>+'5th Year IS'!B30/'5th Year BS'!I25/B25</f>
        <v>2.1235137250373155</v>
      </c>
      <c r="H25">
        <v>0.2</v>
      </c>
      <c r="I25" s="232">
        <v>0.333</v>
      </c>
      <c r="J25" t="s">
        <v>328</v>
      </c>
    </row>
    <row r="26" spans="1:10" ht="12.75">
      <c r="A26" s="69" t="s">
        <v>126</v>
      </c>
      <c r="B26" s="232">
        <v>0.078</v>
      </c>
      <c r="C26" s="235">
        <f>+'1st year Income stmt'!N29/'1st Year BS'!D26/B26</f>
        <v>4.864894852080529</v>
      </c>
      <c r="D26" s="235">
        <f>+'2nd Year IS'!F30/'2nd Year BS'!D26/B26</f>
        <v>5.312657361999996</v>
      </c>
      <c r="E26" s="235">
        <f>+'3rd Year IS'!F30/'3rd Year BS'!D26/B26</f>
        <v>5.587401133667803</v>
      </c>
      <c r="F26" s="235">
        <f>+'4th Year IS'!B30/'4th Year BS'!D26/B26</f>
        <v>6.4360710000197425</v>
      </c>
      <c r="G26" s="236">
        <f>+'5th Year IS'!B30/'5th Year BS'!D26/B26</f>
        <v>6.858399377330791</v>
      </c>
      <c r="H26">
        <v>0.1</v>
      </c>
      <c r="I26" s="232">
        <v>0.078</v>
      </c>
      <c r="J26" t="s">
        <v>328</v>
      </c>
    </row>
    <row r="27" spans="1:9" ht="12.75">
      <c r="A27" s="151"/>
      <c r="B27" s="148"/>
      <c r="C27" s="148"/>
      <c r="D27" s="148"/>
      <c r="E27" s="148"/>
      <c r="F27" s="148"/>
      <c r="G27" s="125"/>
      <c r="I27" s="148"/>
    </row>
  </sheetData>
  <mergeCells count="3">
    <mergeCell ref="A1:G1"/>
    <mergeCell ref="A2:G2"/>
    <mergeCell ref="A3:G3"/>
  </mergeCells>
  <printOptions/>
  <pageMargins left="1.14" right="0.75" top="1" bottom="1" header="0.64" footer="0.5"/>
  <pageSetup horizontalDpi="200" verticalDpi="200" orientation="portrait" r:id="rId3"/>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G9" evalError="1"/>
  </ignoredErrors>
  <legacyDrawing r:id="rId2"/>
</worksheet>
</file>

<file path=xl/worksheets/sheet25.xml><?xml version="1.0" encoding="utf-8"?>
<worksheet xmlns="http://schemas.openxmlformats.org/spreadsheetml/2006/main" xmlns:r="http://schemas.openxmlformats.org/officeDocument/2006/relationships">
  <dimension ref="A1:I24"/>
  <sheetViews>
    <sheetView workbookViewId="0" topLeftCell="A5">
      <selection activeCell="R16" sqref="R16"/>
    </sheetView>
  </sheetViews>
  <sheetFormatPr defaultColWidth="9.140625" defaultRowHeight="12.75"/>
  <cols>
    <col min="4" max="4" width="8.57421875" style="0" customWidth="1"/>
  </cols>
  <sheetData>
    <row r="1" spans="1:9" ht="15.75">
      <c r="A1" s="278" t="str">
        <f>'5th Year BS'!A1:I1</f>
        <v>Speedy B's LLC - NEW</v>
      </c>
      <c r="B1" s="279"/>
      <c r="C1" s="279"/>
      <c r="D1" s="279"/>
      <c r="E1" s="279"/>
      <c r="F1" s="279"/>
      <c r="G1" s="279"/>
      <c r="H1" s="86"/>
      <c r="I1" s="87"/>
    </row>
    <row r="2" spans="1:9" ht="15.75">
      <c r="A2" s="282" t="s">
        <v>276</v>
      </c>
      <c r="B2" s="283"/>
      <c r="C2" s="283"/>
      <c r="D2" s="283"/>
      <c r="E2" s="283"/>
      <c r="F2" s="283"/>
      <c r="G2" s="283"/>
      <c r="H2" s="32"/>
      <c r="I2" s="68"/>
    </row>
    <row r="3" spans="1:9" ht="15.75">
      <c r="A3" s="280" t="s">
        <v>93</v>
      </c>
      <c r="B3" s="281"/>
      <c r="C3" s="281"/>
      <c r="D3" s="281"/>
      <c r="E3" s="281"/>
      <c r="F3" s="281"/>
      <c r="G3" s="281"/>
      <c r="H3" s="33"/>
      <c r="I3" s="62"/>
    </row>
    <row r="4" spans="1:9" ht="12.75">
      <c r="A4" s="63"/>
      <c r="B4" s="33"/>
      <c r="C4" s="33"/>
      <c r="D4" s="33"/>
      <c r="E4" s="33"/>
      <c r="F4" s="33"/>
      <c r="G4" s="33"/>
      <c r="H4" s="33"/>
      <c r="I4" s="62"/>
    </row>
    <row r="5" spans="1:9" ht="12.75">
      <c r="A5" s="63" t="str">
        <f>+'B Balance sheet'!A29:C29</f>
        <v>Depreciable years for Fixed Assets</v>
      </c>
      <c r="B5" s="33"/>
      <c r="C5" s="33"/>
      <c r="D5" s="33"/>
      <c r="E5" s="33">
        <f>+'B Balance sheet'!C29</f>
        <v>5</v>
      </c>
      <c r="F5" s="33"/>
      <c r="G5" s="33"/>
      <c r="H5" s="33"/>
      <c r="I5" s="62"/>
    </row>
    <row r="6" spans="1:9" ht="12.75">
      <c r="A6" s="63" t="s">
        <v>277</v>
      </c>
      <c r="B6" s="33"/>
      <c r="C6" s="33"/>
      <c r="D6" s="33"/>
      <c r="E6" s="33">
        <f>+'Loan Data'!Loan_Amount</f>
        <v>72000</v>
      </c>
      <c r="F6" s="33"/>
      <c r="G6" s="33"/>
      <c r="H6" s="33"/>
      <c r="I6" s="62"/>
    </row>
    <row r="7" spans="1:9" ht="12.75">
      <c r="A7" s="63" t="s">
        <v>278</v>
      </c>
      <c r="B7" s="33"/>
      <c r="C7" s="33"/>
      <c r="D7" s="33"/>
      <c r="E7" s="264">
        <f>+'Loan Data'!Int_Rate</f>
        <v>0.08</v>
      </c>
      <c r="F7" s="33"/>
      <c r="G7" s="33"/>
      <c r="H7" s="33"/>
      <c r="I7" s="62"/>
    </row>
    <row r="8" spans="1:9" ht="12.75">
      <c r="A8" s="63" t="s">
        <v>279</v>
      </c>
      <c r="B8" s="33"/>
      <c r="C8" s="33"/>
      <c r="D8" s="33"/>
      <c r="E8" s="33">
        <f>+'Loan Data'!Num_Years</f>
        <v>7</v>
      </c>
      <c r="F8" s="33"/>
      <c r="G8" s="33"/>
      <c r="H8" s="33"/>
      <c r="I8" s="62"/>
    </row>
    <row r="9" spans="1:9" ht="12.75">
      <c r="A9" s="63" t="s">
        <v>280</v>
      </c>
      <c r="B9" s="33"/>
      <c r="C9" s="33"/>
      <c r="D9" s="33"/>
      <c r="E9" s="265">
        <f>+'Loan Data'!Calc_Pmt</f>
        <v>1122.2074369922138</v>
      </c>
      <c r="F9" s="33"/>
      <c r="G9" s="33"/>
      <c r="H9" s="33"/>
      <c r="I9" s="62"/>
    </row>
    <row r="10" spans="1:9" ht="12.75">
      <c r="A10" s="63"/>
      <c r="B10" s="33"/>
      <c r="C10" s="33"/>
      <c r="D10" s="33"/>
      <c r="E10" s="265"/>
      <c r="F10" s="33"/>
      <c r="G10" s="33"/>
      <c r="H10" s="33"/>
      <c r="I10" s="62"/>
    </row>
    <row r="11" spans="1:9" ht="12.75">
      <c r="A11" s="63"/>
      <c r="B11" s="33"/>
      <c r="C11" s="33"/>
      <c r="D11" s="33"/>
      <c r="E11" s="237" t="s">
        <v>286</v>
      </c>
      <c r="F11" s="32" t="s">
        <v>287</v>
      </c>
      <c r="G11" s="32" t="s">
        <v>288</v>
      </c>
      <c r="H11" s="32" t="s">
        <v>289</v>
      </c>
      <c r="I11" s="68" t="s">
        <v>290</v>
      </c>
    </row>
    <row r="12" spans="1:9" ht="12.75">
      <c r="A12" s="63" t="s">
        <v>292</v>
      </c>
      <c r="B12" s="33"/>
      <c r="C12" s="33"/>
      <c r="D12" s="57" t="s">
        <v>93</v>
      </c>
      <c r="E12" s="57">
        <f>+'1st year Income stmt'!N6</f>
        <v>215004</v>
      </c>
      <c r="F12" s="57">
        <f>+'2nd Year IS'!F7</f>
        <v>225753</v>
      </c>
      <c r="G12" s="57">
        <f>+'3rd Year IS'!F7</f>
        <v>237041</v>
      </c>
      <c r="H12" s="57">
        <f>+'4th Year IS'!B7</f>
        <v>248893</v>
      </c>
      <c r="I12" s="70">
        <f>+'5th Year IS'!B7</f>
        <v>261337.65000000002</v>
      </c>
    </row>
    <row r="13" spans="1:9" ht="12.75">
      <c r="A13" s="63" t="s">
        <v>291</v>
      </c>
      <c r="B13" s="33"/>
      <c r="C13" s="33"/>
      <c r="D13" s="57"/>
      <c r="E13" s="259"/>
      <c r="F13" s="284">
        <f>+'2nd Year IS'!B35</f>
        <v>0.05</v>
      </c>
      <c r="G13" s="284">
        <f>+'3rd Year IS'!B35</f>
        <v>0.05</v>
      </c>
      <c r="H13" s="284">
        <f>+'4th Year IS'!B35</f>
        <v>0.05</v>
      </c>
      <c r="I13" s="286">
        <f>+'5th Year IS'!B35</f>
        <v>0.05</v>
      </c>
    </row>
    <row r="14" spans="1:9" ht="12.75">
      <c r="A14" s="63" t="s">
        <v>285</v>
      </c>
      <c r="B14" s="33"/>
      <c r="C14" s="33"/>
      <c r="D14" s="57"/>
      <c r="E14" s="259"/>
      <c r="F14" s="284">
        <f>+'2nd Year IS'!B36</f>
        <v>0.03</v>
      </c>
      <c r="G14" s="284">
        <f>+'3rd Year IS'!B36</f>
        <v>0.03</v>
      </c>
      <c r="H14" s="284">
        <f>+'4th Year IS'!B36</f>
        <v>0.03</v>
      </c>
      <c r="I14" s="286">
        <f>+'5th Year IS'!B36</f>
        <v>0.03</v>
      </c>
    </row>
    <row r="15" spans="1:9" ht="12.75">
      <c r="A15" s="63" t="s">
        <v>282</v>
      </c>
      <c r="B15" s="33"/>
      <c r="C15" s="33"/>
      <c r="D15" s="33"/>
      <c r="E15" s="284">
        <f>+'1st year Income stmt'!D34</f>
        <v>0.35</v>
      </c>
      <c r="F15" s="284">
        <f>+'2nd Year IS'!B37</f>
        <v>0.35</v>
      </c>
      <c r="G15" s="284">
        <f>+'3rd Year IS'!B37</f>
        <v>0.35</v>
      </c>
      <c r="H15" s="284">
        <f>+'4th Year IS'!B37</f>
        <v>0.35</v>
      </c>
      <c r="I15" s="286">
        <f>+'5th Year IS'!B37</f>
        <v>0.35</v>
      </c>
    </row>
    <row r="16" spans="1:9" ht="12.75">
      <c r="A16" s="63" t="s">
        <v>281</v>
      </c>
      <c r="B16" s="33"/>
      <c r="C16" s="33"/>
      <c r="D16" s="33"/>
      <c r="E16" s="285">
        <f>+'1st year Income stmt'!D35</f>
        <v>0.005</v>
      </c>
      <c r="F16" s="285">
        <f>+'2nd Year IS'!B38</f>
        <v>0.005</v>
      </c>
      <c r="G16" s="285">
        <f>+'3rd Year IS'!B38</f>
        <v>0.005</v>
      </c>
      <c r="H16" s="285">
        <f>+'4th Year IS'!B38</f>
        <v>0.005</v>
      </c>
      <c r="I16" s="287">
        <f>+'5th Year IS'!B38</f>
        <v>0.005</v>
      </c>
    </row>
    <row r="17" spans="1:9" ht="12.75">
      <c r="A17" s="63" t="s">
        <v>283</v>
      </c>
      <c r="B17" s="33"/>
      <c r="C17" s="33"/>
      <c r="D17" s="33"/>
      <c r="E17" s="264">
        <f>+'1st year Income stmt'!D41</f>
        <v>0.11649999999999999</v>
      </c>
      <c r="F17" s="264">
        <f>+'2nd Year IS'!E39</f>
        <v>0.11649999999999999</v>
      </c>
      <c r="G17" s="264">
        <f>+'3rd Year IS'!E39</f>
        <v>0.11649999999999999</v>
      </c>
      <c r="H17" s="264">
        <f>+'4th Year IS'!E39</f>
        <v>0.11649999999999999</v>
      </c>
      <c r="I17" s="288">
        <f>+'5th Year IS'!E39</f>
        <v>0.11649999999999999</v>
      </c>
    </row>
    <row r="18" spans="1:9" ht="12.75">
      <c r="A18" s="63" t="s">
        <v>284</v>
      </c>
      <c r="B18" s="33"/>
      <c r="C18" s="33"/>
      <c r="D18" s="33"/>
      <c r="E18" s="285">
        <f>+'1st year Income stmt'!D42</f>
        <v>0</v>
      </c>
      <c r="F18" s="285">
        <f>+'2nd Year IS'!B39</f>
        <v>0</v>
      </c>
      <c r="G18" s="285">
        <f>+'3rd Year IS'!B39</f>
        <v>0</v>
      </c>
      <c r="H18" s="285">
        <f>+'4th Year IS'!B39</f>
        <v>0</v>
      </c>
      <c r="I18" s="287">
        <f>+'5th Year IS'!B39</f>
        <v>0</v>
      </c>
    </row>
    <row r="19" spans="1:9" ht="12.75">
      <c r="A19" s="63" t="s">
        <v>306</v>
      </c>
      <c r="B19" s="33"/>
      <c r="C19" s="33"/>
      <c r="D19" s="33"/>
      <c r="E19" s="284">
        <f>+'1st year Income stmt'!D43</f>
        <v>0.2</v>
      </c>
      <c r="F19" s="284">
        <f>+'2nd Year IS'!B40</f>
        <v>0.2</v>
      </c>
      <c r="G19" s="284">
        <f>+'3rd Year IS'!B40</f>
        <v>0.2</v>
      </c>
      <c r="H19" s="284">
        <f>+'4th Year IS'!B40</f>
        <v>0.2</v>
      </c>
      <c r="I19" s="286">
        <f>+'5th Year IS'!B40</f>
        <v>0.2</v>
      </c>
    </row>
    <row r="20" spans="1:9" ht="12.75">
      <c r="A20" s="63" t="s">
        <v>299</v>
      </c>
      <c r="B20" s="33"/>
      <c r="C20" s="33"/>
      <c r="D20" s="33"/>
      <c r="E20" s="57">
        <f>+'1st year Cash Flow'!D43</f>
        <v>0</v>
      </c>
      <c r="F20" s="57">
        <f>+'2nd Year CF'!B44</f>
        <v>0</v>
      </c>
      <c r="G20" s="57">
        <f>+'3rd Year CF'!B45</f>
        <v>0</v>
      </c>
      <c r="H20" s="57">
        <f>+'4th Year CF'!B45</f>
        <v>0</v>
      </c>
      <c r="I20" s="70">
        <f>+'5th Year CF'!B45</f>
        <v>0</v>
      </c>
    </row>
    <row r="21" spans="1:9" ht="12.75">
      <c r="A21" s="63" t="s">
        <v>321</v>
      </c>
      <c r="B21" s="33"/>
      <c r="C21" s="33"/>
      <c r="D21" s="33"/>
      <c r="E21" s="284">
        <f>+'1st year Cash Flow'!D42</f>
        <v>0</v>
      </c>
      <c r="F21" s="284">
        <f>+'2nd Year CF'!B43</f>
        <v>0</v>
      </c>
      <c r="G21" s="284">
        <f>+'3rd Year CF'!B44</f>
        <v>0</v>
      </c>
      <c r="H21" s="284">
        <f>+'4th Year CF'!B44</f>
        <v>0</v>
      </c>
      <c r="I21" s="286">
        <f>+'5th Year CF'!B44</f>
        <v>0</v>
      </c>
    </row>
    <row r="22" spans="1:9" ht="12.75">
      <c r="A22" s="63" t="s">
        <v>320</v>
      </c>
      <c r="B22" s="33"/>
      <c r="C22" s="33"/>
      <c r="D22" s="33"/>
      <c r="E22" s="57">
        <f>+'1st year Cash Flow'!D45</f>
        <v>0</v>
      </c>
      <c r="F22" s="57">
        <f>+'2nd Year CF'!B46</f>
        <v>7</v>
      </c>
      <c r="G22" s="57">
        <f>+'3rd Year CF'!B47</f>
        <v>7</v>
      </c>
      <c r="H22" s="57">
        <f>+'4th Year CF'!B47</f>
        <v>7</v>
      </c>
      <c r="I22" s="70">
        <f>+'5th Year CF'!B47</f>
        <v>7</v>
      </c>
    </row>
    <row r="23" spans="1:9" ht="12.75">
      <c r="A23" s="63" t="s">
        <v>322</v>
      </c>
      <c r="B23" s="33"/>
      <c r="C23" s="33"/>
      <c r="D23" s="33"/>
      <c r="E23" s="284">
        <f>+'1st year Cash Flow'!D44</f>
        <v>0</v>
      </c>
      <c r="F23" s="284">
        <f>+'2nd Year CF'!B45</f>
        <v>0.75</v>
      </c>
      <c r="G23" s="284">
        <f>+'3rd Year CF'!B46</f>
        <v>0.75</v>
      </c>
      <c r="H23" s="284">
        <f>+'4th Year CF'!B46</f>
        <v>0.75</v>
      </c>
      <c r="I23" s="286">
        <f>+'5th Year CF'!B46</f>
        <v>0.75</v>
      </c>
    </row>
    <row r="24" spans="1:9" ht="12.75">
      <c r="A24" s="104"/>
      <c r="B24" s="32"/>
      <c r="C24" s="32"/>
      <c r="D24" s="32"/>
      <c r="E24" s="32"/>
      <c r="F24" s="32"/>
      <c r="G24" s="32"/>
      <c r="H24" s="32"/>
      <c r="I24" s="68"/>
    </row>
  </sheetData>
  <printOptions/>
  <pageMargins left="1.32" right="0.75" top="1.44"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6.xml><?xml version="1.0" encoding="utf-8"?>
<worksheet xmlns="http://schemas.openxmlformats.org/spreadsheetml/2006/main" xmlns:r="http://schemas.openxmlformats.org/officeDocument/2006/relationships">
  <sheetPr codeName="Sheet23"/>
  <dimension ref="A1:J27"/>
  <sheetViews>
    <sheetView workbookViewId="0" topLeftCell="A1">
      <selection activeCell="G29" sqref="G29"/>
    </sheetView>
  </sheetViews>
  <sheetFormatPr defaultColWidth="9.140625" defaultRowHeight="12.75"/>
  <cols>
    <col min="1" max="1" width="15.7109375" style="0" customWidth="1"/>
  </cols>
  <sheetData>
    <row r="1" spans="1:7" ht="15.75">
      <c r="A1" s="459" t="str">
        <f>'5th Year BS'!A1:I1</f>
        <v>Speedy B's LLC - NEW</v>
      </c>
      <c r="B1" s="460"/>
      <c r="C1" s="460"/>
      <c r="D1" s="460"/>
      <c r="E1" s="460"/>
      <c r="F1" s="460"/>
      <c r="G1" s="461"/>
    </row>
    <row r="2" spans="1:7" ht="15.75">
      <c r="A2" s="430" t="s">
        <v>119</v>
      </c>
      <c r="B2" s="431"/>
      <c r="C2" s="431"/>
      <c r="D2" s="431"/>
      <c r="E2" s="431"/>
      <c r="F2" s="431"/>
      <c r="G2" s="432"/>
    </row>
    <row r="3" spans="1:7" ht="15.75">
      <c r="A3" s="462" t="str">
        <f>+'BS consol'!A3:H3</f>
        <v>For Year Ending</v>
      </c>
      <c r="B3" s="463"/>
      <c r="C3" s="463"/>
      <c r="D3" s="463"/>
      <c r="E3" s="463"/>
      <c r="F3" s="463"/>
      <c r="G3" s="464"/>
    </row>
    <row r="4" spans="1:7" ht="12.75">
      <c r="A4" s="145"/>
      <c r="B4" s="300">
        <f>'B Balance sheet'!A4</f>
        <v>38961</v>
      </c>
      <c r="C4" s="301">
        <f>'1st Year BS'!A4</f>
        <v>39325</v>
      </c>
      <c r="D4" s="301">
        <f>'2nd Year BS'!A4</f>
        <v>39691</v>
      </c>
      <c r="E4" s="301">
        <f>'3rd Year BS'!A4</f>
        <v>40056</v>
      </c>
      <c r="F4" s="301">
        <f>'4th Year BS'!A4</f>
        <v>40421</v>
      </c>
      <c r="G4" s="302">
        <f>'5th Year BS'!A4</f>
        <v>40786</v>
      </c>
    </row>
    <row r="5" spans="1:7" ht="12.75">
      <c r="A5" s="69"/>
      <c r="B5" s="148"/>
      <c r="C5" s="148"/>
      <c r="D5" s="148"/>
      <c r="E5" s="148"/>
      <c r="F5" s="148"/>
      <c r="G5" s="125"/>
    </row>
    <row r="6" spans="1:7" ht="12.75">
      <c r="A6" s="147" t="s">
        <v>120</v>
      </c>
      <c r="B6" s="57"/>
      <c r="C6" s="57"/>
      <c r="D6" s="57"/>
      <c r="E6" s="57"/>
      <c r="F6" s="57"/>
      <c r="G6" s="70"/>
    </row>
    <row r="7" spans="1:7" ht="12.75">
      <c r="A7" s="69" t="s">
        <v>93</v>
      </c>
      <c r="B7" s="155"/>
      <c r="C7" s="155"/>
      <c r="D7" s="155"/>
      <c r="E7" s="155"/>
      <c r="F7" s="155"/>
      <c r="G7" s="156"/>
    </row>
    <row r="8" spans="1:10" ht="12.75">
      <c r="A8" s="69" t="s">
        <v>121</v>
      </c>
      <c r="B8" s="157">
        <f>+'B Balance sheet'!C14/'B Balance sheet'!H14</f>
        <v>3.0625</v>
      </c>
      <c r="C8" s="157">
        <f>+'1st Year BS'!D14/'1st Year BS'!I14</f>
        <v>4.819205909510619</v>
      </c>
      <c r="D8" s="157">
        <f>+'2nd Year BS'!D14/'2nd Year BS'!I14</f>
        <v>5.449762741144614</v>
      </c>
      <c r="E8" s="157">
        <f>+'3rd Year BS'!D14/'3rd Year BS'!I14</f>
        <v>6.606331896930788</v>
      </c>
      <c r="F8" s="157">
        <f>+'4th Year BS'!D14/'4th Year BS'!I14</f>
        <v>6.933650517071997</v>
      </c>
      <c r="G8" s="158">
        <f>+'5th Year BS'!D14/'5th Year BS'!I14</f>
        <v>8.09449711981457</v>
      </c>
      <c r="H8" t="s">
        <v>327</v>
      </c>
      <c r="I8" s="232">
        <v>0.7</v>
      </c>
      <c r="J8" t="s">
        <v>328</v>
      </c>
    </row>
    <row r="9" spans="1:10" ht="12.75">
      <c r="A9" s="69" t="s">
        <v>122</v>
      </c>
      <c r="B9" s="157">
        <f>(+'B Balance sheet'!C9+'B Balance sheet'!C11)/'B Balance sheet'!H14</f>
        <v>2.5</v>
      </c>
      <c r="C9" s="157">
        <f>(+'1st Year BS'!D8+'1st Year BS'!D10)/'1st Year BS'!I14</f>
        <v>4.299815327793167</v>
      </c>
      <c r="D9" s="157">
        <f>(+'2nd Year BS'!D8+'2nd Year BS'!D10)/'2nd Year BS'!I14</f>
        <v>5.022625611933259</v>
      </c>
      <c r="E9" s="157">
        <f>(+'3rd Year BS'!D8+'3rd Year BS'!D10)/'3rd Year BS'!I14</f>
        <v>6.21057881159675</v>
      </c>
      <c r="F9" s="157">
        <f>(+'4th Year BS'!D8+'4th Year BS'!D10)/'4th Year BS'!I14</f>
        <v>6.591559603560974</v>
      </c>
      <c r="G9" s="158" t="e">
        <f>+'5th Year BS'!D15/'5th Year BS'!I15</f>
        <v>#DIV/0!</v>
      </c>
      <c r="H9" t="s">
        <v>329</v>
      </c>
      <c r="I9" s="232">
        <v>0.4</v>
      </c>
      <c r="J9" t="s">
        <v>328</v>
      </c>
    </row>
    <row r="10" spans="1:10" ht="12.75">
      <c r="A10" s="69" t="s">
        <v>129</v>
      </c>
      <c r="B10" s="155"/>
      <c r="C10" s="155">
        <f>+'1st Year BS'!D10/'1st year Income stmt'!N6*365</f>
        <v>0</v>
      </c>
      <c r="D10" s="155">
        <f>+'2nd Year BS'!D10/'2nd Year IS'!F7*365</f>
        <v>0</v>
      </c>
      <c r="E10" s="155">
        <f>+'3rd Year BS'!D10/'3rd Year IS'!F7*365</f>
        <v>0</v>
      </c>
      <c r="F10" s="155">
        <f>+'4th Year BS'!D10/'4th Year IS'!B7*365</f>
        <v>0</v>
      </c>
      <c r="G10" s="156">
        <f>+'5th Year BS'!D10/'5th Year IS'!B7*365</f>
        <v>0</v>
      </c>
      <c r="H10" t="s">
        <v>93</v>
      </c>
      <c r="I10" s="233">
        <v>0</v>
      </c>
      <c r="J10" t="s">
        <v>330</v>
      </c>
    </row>
    <row r="11" spans="1:10" ht="12.75">
      <c r="A11" s="69" t="s">
        <v>130</v>
      </c>
      <c r="B11" s="155"/>
      <c r="C11" s="155">
        <f>+'1st Year BS'!D9/'1st year Income stmt'!N9*365</f>
        <v>21.830143540669855</v>
      </c>
      <c r="D11" s="155">
        <f>+'2nd Year BS'!D9/'2nd Year IS'!F10*365</f>
        <v>20.787718476706367</v>
      </c>
      <c r="E11" s="155">
        <f>+'3rd Year BS'!D9/'3rd Year IS'!F10*365</f>
        <v>19.797743599633574</v>
      </c>
      <c r="F11" s="155">
        <f>+'4th Year BS'!D9/'4th Year IS'!B10*365</f>
        <v>18.854820750060266</v>
      </c>
      <c r="G11" s="156">
        <f>+'5th Year BS'!D9/'5th Year IS'!B10*365</f>
        <v>17.957099750732496</v>
      </c>
      <c r="I11" s="233">
        <v>10</v>
      </c>
      <c r="J11" t="s">
        <v>330</v>
      </c>
    </row>
    <row r="12" spans="1:10" ht="12.75">
      <c r="A12" s="69" t="s">
        <v>131</v>
      </c>
      <c r="B12" s="155"/>
      <c r="C12" s="155">
        <f>+'1st Year BS'!I9/'1st year Income stmt'!N9*365</f>
        <v>0</v>
      </c>
      <c r="D12" s="155">
        <f>+'2nd Year BS'!I9/'2nd Year IS'!F10*365</f>
        <v>5.322849299060483</v>
      </c>
      <c r="E12" s="155">
        <f>+'3rd Year BS'!I9/'3rd Year IS'!F10*365</f>
        <v>5.32291666666665</v>
      </c>
      <c r="F12" s="155">
        <f>+'4th Year BS'!I9/'4th Year IS'!B10*365</f>
        <v>5.322916666666675</v>
      </c>
      <c r="G12" s="156">
        <f>+'5th Year BS'!I9/'5th Year IS'!B10*365</f>
        <v>5.322916666666751</v>
      </c>
      <c r="I12" s="233">
        <v>21</v>
      </c>
      <c r="J12" t="s">
        <v>331</v>
      </c>
    </row>
    <row r="13" spans="1:9" ht="12.75">
      <c r="A13" s="69"/>
      <c r="B13" s="148"/>
      <c r="C13" s="148"/>
      <c r="D13" s="148"/>
      <c r="E13" s="148"/>
      <c r="F13" s="148"/>
      <c r="G13" s="125"/>
      <c r="I13" s="148"/>
    </row>
    <row r="14" spans="1:9" ht="12.75">
      <c r="A14" s="69"/>
      <c r="B14" s="57"/>
      <c r="C14" s="57"/>
      <c r="D14" s="57"/>
      <c r="E14" s="57"/>
      <c r="F14" s="57"/>
      <c r="G14" s="70"/>
      <c r="I14" s="57"/>
    </row>
    <row r="15" spans="1:9" ht="12.75">
      <c r="A15" s="147" t="s">
        <v>123</v>
      </c>
      <c r="B15" s="57"/>
      <c r="C15" s="57"/>
      <c r="D15" s="57"/>
      <c r="E15" s="57"/>
      <c r="F15" s="57"/>
      <c r="G15" s="70"/>
      <c r="I15" s="57"/>
    </row>
    <row r="16" spans="1:9" ht="12.75">
      <c r="A16" s="69"/>
      <c r="B16" s="57"/>
      <c r="C16" s="57"/>
      <c r="D16" s="57"/>
      <c r="E16" s="57"/>
      <c r="F16" s="57"/>
      <c r="G16" s="70"/>
      <c r="I16" s="57"/>
    </row>
    <row r="17" spans="1:10" ht="12.75">
      <c r="A17" s="69" t="s">
        <v>124</v>
      </c>
      <c r="B17" s="159">
        <f>+'B Balance sheet'!H20/'B Balance sheet'!H24</f>
        <v>9</v>
      </c>
      <c r="C17" s="159">
        <f>+'1st Year BS'!I21/'1st Year BS'!I25</f>
        <v>2.888920988010978</v>
      </c>
      <c r="D17" s="159">
        <f>+'2nd Year BS'!I21/'2nd Year BS'!I25</f>
        <v>1.6504294443275758</v>
      </c>
      <c r="E17" s="159">
        <f>+'3rd Year BS'!I21/'3rd Year BS'!I25</f>
        <v>0.940296186420403</v>
      </c>
      <c r="F17" s="159">
        <f>+'4th Year BS'!I21/'4th Year BS'!I25</f>
        <v>0.5680444032496701</v>
      </c>
      <c r="G17" s="160">
        <f>+'5th Year BS'!I21/'5th Year BS'!I25</f>
        <v>0.3218492588487091</v>
      </c>
      <c r="H17" t="s">
        <v>332</v>
      </c>
      <c r="I17" s="234">
        <v>5.5</v>
      </c>
      <c r="J17" t="s">
        <v>330</v>
      </c>
    </row>
    <row r="18" spans="1:10" ht="12.75">
      <c r="A18" s="63" t="s">
        <v>132</v>
      </c>
      <c r="B18" s="159">
        <f>+'B Balance sheet'!H20/'B Balance sheet'!C25</f>
        <v>0.9</v>
      </c>
      <c r="C18" s="159">
        <f>+'1st Year BS'!I21/'1st Year BS'!D26</f>
        <v>0.7428592653121866</v>
      </c>
      <c r="D18" s="159">
        <f>+'2nd Year BS'!I21/'2nd Year BS'!D26</f>
        <v>0.6227026521531482</v>
      </c>
      <c r="E18" s="159">
        <f>+'3rd Year BS'!I21/'3rd Year BS'!D26</f>
        <v>0.48461476809637427</v>
      </c>
      <c r="F18" s="159">
        <f>+'4th Year BS'!I21/'4th Year BS'!D26</f>
        <v>0.3622629576512215</v>
      </c>
      <c r="G18" s="160">
        <f>+'5th Year BS'!I21/'5th Year BS'!D26</f>
        <v>0.24348408617260192</v>
      </c>
      <c r="H18" t="s">
        <v>333</v>
      </c>
      <c r="I18" s="234">
        <v>7</v>
      </c>
      <c r="J18" t="s">
        <v>330</v>
      </c>
    </row>
    <row r="19" spans="1:9" ht="12.75">
      <c r="A19" s="69"/>
      <c r="B19" s="155"/>
      <c r="C19" s="155"/>
      <c r="D19" s="155"/>
      <c r="E19" s="155"/>
      <c r="F19" s="155"/>
      <c r="G19" s="156"/>
      <c r="I19" s="155"/>
    </row>
    <row r="20" spans="1:9" ht="12.75">
      <c r="A20" s="69"/>
      <c r="B20" s="155"/>
      <c r="C20" s="155"/>
      <c r="D20" s="155"/>
      <c r="E20" s="155"/>
      <c r="F20" s="155"/>
      <c r="G20" s="156"/>
      <c r="H20" s="69"/>
      <c r="I20" s="155"/>
    </row>
    <row r="21" spans="1:9" ht="12.75">
      <c r="A21" s="69"/>
      <c r="B21" s="161"/>
      <c r="C21" s="161"/>
      <c r="D21" s="161"/>
      <c r="E21" s="161"/>
      <c r="F21" s="161"/>
      <c r="G21" s="162"/>
      <c r="I21" s="161"/>
    </row>
    <row r="22" spans="1:9" ht="12.75">
      <c r="A22" s="69"/>
      <c r="B22" s="155"/>
      <c r="C22" s="155"/>
      <c r="D22" s="155"/>
      <c r="E22" s="155"/>
      <c r="F22" s="155"/>
      <c r="G22" s="156"/>
      <c r="I22" s="155"/>
    </row>
    <row r="23" spans="1:9" ht="12.75">
      <c r="A23" s="147" t="s">
        <v>125</v>
      </c>
      <c r="B23" s="155"/>
      <c r="C23" s="155"/>
      <c r="D23" s="155"/>
      <c r="E23" s="155"/>
      <c r="F23" s="155"/>
      <c r="G23" s="156"/>
      <c r="I23" s="155"/>
    </row>
    <row r="24" spans="1:9" ht="12.75">
      <c r="A24" s="69"/>
      <c r="B24" s="155"/>
      <c r="C24" s="155"/>
      <c r="D24" s="155"/>
      <c r="E24" s="155"/>
      <c r="F24" s="155"/>
      <c r="G24" s="156"/>
      <c r="I24" s="155"/>
    </row>
    <row r="25" spans="1:10" ht="12.75">
      <c r="A25" s="69" t="s">
        <v>128</v>
      </c>
      <c r="B25" s="157" t="s">
        <v>127</v>
      </c>
      <c r="C25" s="159">
        <f>+'1st year Income stmt'!N29/'1st Year BS'!I25</f>
        <v>1.4756969521883578</v>
      </c>
      <c r="D25" s="159">
        <f>+'2nd Year IS'!F30/'2nd Year BS'!I25</f>
        <v>1.098304232989739</v>
      </c>
      <c r="E25" s="159">
        <f>+'3rd Year IS'!F30/'3rd Year BS'!I25</f>
        <v>0.8456146227092207</v>
      </c>
      <c r="F25" s="159">
        <f>+'4th Year IS'!B30/'4th Year BS'!I25</f>
        <v>0.7871795186188801</v>
      </c>
      <c r="G25" s="160">
        <f>+'5th Year IS'!B30/'5th Year BS'!I25</f>
        <v>0.707130070437426</v>
      </c>
      <c r="H25">
        <v>0.2</v>
      </c>
      <c r="I25" s="232">
        <v>0.333</v>
      </c>
      <c r="J25" t="s">
        <v>328</v>
      </c>
    </row>
    <row r="26" spans="1:10" ht="12.75">
      <c r="A26" s="69" t="s">
        <v>126</v>
      </c>
      <c r="B26" s="155"/>
      <c r="C26" s="159">
        <f>+'1st year Income stmt'!N29/'1st Year BS'!D26</f>
        <v>0.3794617984622813</v>
      </c>
      <c r="D26" s="159">
        <f>+'2nd Year IS'!F30/'2nd Year BS'!D26</f>
        <v>0.4143872742359997</v>
      </c>
      <c r="E26" s="159">
        <f>+'3rd Year IS'!F30/'3rd Year BS'!D26</f>
        <v>0.43581728842608863</v>
      </c>
      <c r="F26" s="159">
        <f>+'4th Year IS'!B30/'4th Year BS'!D26</f>
        <v>0.5020135380015399</v>
      </c>
      <c r="G26" s="160">
        <f>+'5th Year IS'!B30/'5th Year BS'!D26</f>
        <v>0.5349551514318017</v>
      </c>
      <c r="H26">
        <v>0.1</v>
      </c>
      <c r="I26" s="232">
        <v>0.078</v>
      </c>
      <c r="J26" t="s">
        <v>328</v>
      </c>
    </row>
    <row r="27" spans="1:9" ht="13.5" thickBot="1">
      <c r="A27" s="164"/>
      <c r="B27" s="149"/>
      <c r="C27" s="149"/>
      <c r="D27" s="149"/>
      <c r="E27" s="149"/>
      <c r="F27" s="149"/>
      <c r="G27" s="150"/>
      <c r="I27" s="148"/>
    </row>
    <row r="28" ht="13.5" thickTop="1"/>
  </sheetData>
  <mergeCells count="3">
    <mergeCell ref="A1:G1"/>
    <mergeCell ref="A2:G2"/>
    <mergeCell ref="A3:G3"/>
  </mergeCells>
  <printOptions/>
  <pageMargins left="1.5" right="0.75" top="1.8" bottom="1"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3.xml><?xml version="1.0" encoding="utf-8"?>
<worksheet xmlns="http://schemas.openxmlformats.org/spreadsheetml/2006/main" xmlns:r="http://schemas.openxmlformats.org/officeDocument/2006/relationships">
  <sheetPr codeName="Sheet12"/>
  <dimension ref="A1:B11"/>
  <sheetViews>
    <sheetView workbookViewId="0" topLeftCell="A1">
      <selection activeCell="B14" sqref="B14"/>
    </sheetView>
  </sheetViews>
  <sheetFormatPr defaultColWidth="9.140625" defaultRowHeight="12.75"/>
  <cols>
    <col min="1" max="1" width="27.28125" style="0" bestFit="1" customWidth="1"/>
    <col min="2" max="2" width="15.140625" style="0" bestFit="1" customWidth="1"/>
    <col min="3" max="3" width="8.421875" style="0" bestFit="1" customWidth="1"/>
    <col min="4" max="16384" width="9.00390625" style="0" bestFit="1" customWidth="1"/>
  </cols>
  <sheetData>
    <row r="1" spans="1:2" ht="15.75">
      <c r="A1" s="175" t="s">
        <v>178</v>
      </c>
      <c r="B1" s="165" t="s">
        <v>93</v>
      </c>
    </row>
    <row r="2" spans="1:2" ht="15.75">
      <c r="A2" s="194" t="str">
        <f>+'B Balance sheet'!A1:I1</f>
        <v>Speedy B's LLC - NEW</v>
      </c>
      <c r="B2" s="195"/>
    </row>
    <row r="4" spans="1:2" ht="12.75">
      <c r="A4" s="170" t="s">
        <v>179</v>
      </c>
      <c r="B4" s="165"/>
    </row>
    <row r="5" spans="1:2" ht="12.75">
      <c r="A5" s="171" t="s">
        <v>180</v>
      </c>
      <c r="B5" s="196">
        <v>72000</v>
      </c>
    </row>
    <row r="6" spans="1:2" ht="12.75">
      <c r="A6" s="171" t="s">
        <v>181</v>
      </c>
      <c r="B6" s="307">
        <f>EOMONTH(+'B Balance sheet'!A4,1)</f>
        <v>39021</v>
      </c>
    </row>
    <row r="7" spans="1:2" ht="12.75">
      <c r="A7" s="171" t="s">
        <v>182</v>
      </c>
      <c r="B7" s="197">
        <v>0.08</v>
      </c>
    </row>
    <row r="8" spans="1:2" ht="12.75">
      <c r="A8" s="171" t="s">
        <v>183</v>
      </c>
      <c r="B8" s="198">
        <v>7</v>
      </c>
    </row>
    <row r="9" spans="1:2" ht="12.75">
      <c r="A9" s="171" t="s">
        <v>184</v>
      </c>
      <c r="B9" s="198">
        <v>12</v>
      </c>
    </row>
    <row r="11" spans="1:2" ht="12.75">
      <c r="A11" s="172" t="s">
        <v>169</v>
      </c>
      <c r="B11" s="167">
        <f>IF(VerifyNum,ABS(PMT(Int_Rate/12,Num_Years*Num_Pmts,Loan_Amount)),"")</f>
        <v>1122.2074369922138</v>
      </c>
    </row>
  </sheetData>
  <printOptions gridLines="1"/>
  <pageMargins left="1.2" right="0.75" top="1"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4.xml><?xml version="1.0" encoding="utf-8"?>
<worksheet xmlns="http://schemas.openxmlformats.org/spreadsheetml/2006/main" xmlns:r="http://schemas.openxmlformats.org/officeDocument/2006/relationships">
  <sheetPr codeName="Sheet21"/>
  <dimension ref="A1:G123"/>
  <sheetViews>
    <sheetView workbookViewId="0" topLeftCell="A19">
      <selection activeCell="G40" sqref="G40"/>
    </sheetView>
  </sheetViews>
  <sheetFormatPr defaultColWidth="9.140625" defaultRowHeight="12.75"/>
  <cols>
    <col min="1" max="1" width="5.421875" style="0" bestFit="1" customWidth="1"/>
    <col min="2" max="2" width="10.140625" style="0" bestFit="1" customWidth="1"/>
    <col min="3" max="3" width="13.8515625" style="0" bestFit="1" customWidth="1"/>
    <col min="4" max="4" width="12.140625" style="0" bestFit="1" customWidth="1"/>
    <col min="5" max="5" width="9.00390625" style="0" bestFit="1" customWidth="1"/>
    <col min="6" max="6" width="13.28125" style="0" bestFit="1" customWidth="1"/>
    <col min="7" max="16384" width="9.00390625" style="0" bestFit="1" customWidth="1"/>
  </cols>
  <sheetData>
    <row r="1" spans="1:6" ht="15.75">
      <c r="A1" s="175" t="s">
        <v>168</v>
      </c>
      <c r="B1" s="176"/>
      <c r="C1" s="176"/>
      <c r="D1" s="176"/>
      <c r="E1" s="165"/>
      <c r="F1" s="165"/>
    </row>
    <row r="2" spans="1:6" ht="15.75">
      <c r="A2" s="194" t="str">
        <f>+'Loan Data'!A2</f>
        <v>Speedy B's LLC - NEW</v>
      </c>
      <c r="B2" s="181"/>
      <c r="C2" s="181"/>
      <c r="D2" s="181"/>
      <c r="E2" s="195"/>
      <c r="F2" s="195"/>
    </row>
    <row r="4" spans="2:7" ht="12.75">
      <c r="B4" s="166" t="s">
        <v>169</v>
      </c>
      <c r="D4" s="167">
        <f>+'Loan Data'!B11</f>
        <v>1122.2074369922138</v>
      </c>
      <c r="E4" s="138" t="s">
        <v>185</v>
      </c>
      <c r="G4" s="189">
        <f>+'Loan Data'!B5</f>
        <v>72000</v>
      </c>
    </row>
    <row r="5" spans="2:7" ht="12.75">
      <c r="B5" s="166" t="s">
        <v>170</v>
      </c>
      <c r="D5" s="167"/>
      <c r="E5" s="138" t="s">
        <v>186</v>
      </c>
      <c r="G5">
        <f>+'Loan Data'!B8</f>
        <v>7</v>
      </c>
    </row>
    <row r="6" spans="2:7" ht="12.75">
      <c r="B6" s="166" t="s">
        <v>171</v>
      </c>
      <c r="D6">
        <v>1</v>
      </c>
      <c r="E6" s="138" t="s">
        <v>187</v>
      </c>
      <c r="G6" s="190">
        <f>+'Loan Data'!B7</f>
        <v>0.08</v>
      </c>
    </row>
    <row r="7" spans="2:7" ht="12.75">
      <c r="B7" t="s">
        <v>172</v>
      </c>
      <c r="E7" s="138" t="s">
        <v>188</v>
      </c>
      <c r="G7">
        <f>+'Loan Data'!B9</f>
        <v>12</v>
      </c>
    </row>
    <row r="9" spans="1:6" ht="25.5">
      <c r="A9" s="168" t="s">
        <v>173</v>
      </c>
      <c r="B9" s="168" t="s">
        <v>174</v>
      </c>
      <c r="C9" s="168" t="s">
        <v>175</v>
      </c>
      <c r="D9" s="168" t="s">
        <v>84</v>
      </c>
      <c r="E9" s="168" t="s">
        <v>176</v>
      </c>
      <c r="F9" s="168" t="s">
        <v>177</v>
      </c>
    </row>
    <row r="10" spans="1:6" ht="12.75">
      <c r="A10">
        <f>IF(Table_Start="",1,Table_Start)</f>
        <v>1</v>
      </c>
      <c r="B10" s="169">
        <f aca="true" t="shared" si="0" ref="B10:B42">IF(A10&lt;&gt;"",DATE(YEAR(Start_Date),MONTH(Start_Date)+(A10-1)*12/Num_Pmts,DAY(Start_Date)),"")</f>
        <v>39021</v>
      </c>
      <c r="C10" s="187">
        <f>+'Loan Data'!B5</f>
        <v>72000</v>
      </c>
      <c r="D10" s="187">
        <f>ROUNDUP(IF(A10&lt;&gt;"",C10*(Int_Rate/Num_Pmts),""),0)</f>
        <v>480</v>
      </c>
      <c r="E10" s="187">
        <f>ROUNDUP(+$D$4-D10,0)</f>
        <v>643</v>
      </c>
      <c r="F10" s="187">
        <f>IF(A10&lt;&gt;"",C10-E10,"")</f>
        <v>71357</v>
      </c>
    </row>
    <row r="11" spans="1:6" ht="12.75">
      <c r="A11">
        <f aca="true" t="shared" si="1" ref="A11:A32">A10+1</f>
        <v>2</v>
      </c>
      <c r="B11" s="169">
        <f t="shared" si="0"/>
        <v>39052</v>
      </c>
      <c r="C11" s="187">
        <f aca="true" t="shared" si="2" ref="C11:C74">+F10</f>
        <v>71357</v>
      </c>
      <c r="D11" s="187">
        <f aca="true" t="shared" si="3" ref="D11:D74">ROUNDUP(IF(A11&lt;&gt;"",C11*(Int_Rate/Num_Pmts),""),0)</f>
        <v>476</v>
      </c>
      <c r="E11" s="187">
        <f>ROUNDUP(IF(F10&gt;1,$D$4-D11,0),0)</f>
        <v>647</v>
      </c>
      <c r="F11" s="187">
        <f aca="true" t="shared" si="4" ref="F11:F74">IF(F10&gt;1,F10-E11,0)</f>
        <v>70710</v>
      </c>
    </row>
    <row r="12" spans="1:6" ht="12.75">
      <c r="A12">
        <f t="shared" si="1"/>
        <v>3</v>
      </c>
      <c r="B12" s="169">
        <f t="shared" si="0"/>
        <v>39082</v>
      </c>
      <c r="C12" s="187">
        <f t="shared" si="2"/>
        <v>70710</v>
      </c>
      <c r="D12" s="187">
        <f t="shared" si="3"/>
        <v>472</v>
      </c>
      <c r="E12" s="187">
        <f aca="true" t="shared" si="5" ref="E12:E75">ROUNDUP(IF(F11&gt;1,$D$4-D12,0),0)</f>
        <v>651</v>
      </c>
      <c r="F12" s="187">
        <f t="shared" si="4"/>
        <v>70059</v>
      </c>
    </row>
    <row r="13" spans="1:6" ht="12.75">
      <c r="A13">
        <f t="shared" si="1"/>
        <v>4</v>
      </c>
      <c r="B13" s="169">
        <f t="shared" si="0"/>
        <v>39113</v>
      </c>
      <c r="C13" s="187">
        <f t="shared" si="2"/>
        <v>70059</v>
      </c>
      <c r="D13" s="187">
        <f t="shared" si="3"/>
        <v>468</v>
      </c>
      <c r="E13" s="187">
        <f t="shared" si="5"/>
        <v>655</v>
      </c>
      <c r="F13" s="187">
        <f t="shared" si="4"/>
        <v>69404</v>
      </c>
    </row>
    <row r="14" spans="1:6" ht="12.75">
      <c r="A14">
        <f t="shared" si="1"/>
        <v>5</v>
      </c>
      <c r="B14" s="169">
        <f t="shared" si="0"/>
        <v>39144</v>
      </c>
      <c r="C14" s="187">
        <f t="shared" si="2"/>
        <v>69404</v>
      </c>
      <c r="D14" s="187">
        <f t="shared" si="3"/>
        <v>463</v>
      </c>
      <c r="E14" s="187">
        <f t="shared" si="5"/>
        <v>660</v>
      </c>
      <c r="F14" s="187">
        <f t="shared" si="4"/>
        <v>68744</v>
      </c>
    </row>
    <row r="15" spans="1:6" ht="12.75">
      <c r="A15">
        <f t="shared" si="1"/>
        <v>6</v>
      </c>
      <c r="B15" s="169">
        <f t="shared" si="0"/>
        <v>39172</v>
      </c>
      <c r="C15" s="187">
        <f t="shared" si="2"/>
        <v>68744</v>
      </c>
      <c r="D15" s="187">
        <f t="shared" si="3"/>
        <v>459</v>
      </c>
      <c r="E15" s="187">
        <f t="shared" si="5"/>
        <v>664</v>
      </c>
      <c r="F15" s="187">
        <f t="shared" si="4"/>
        <v>68080</v>
      </c>
    </row>
    <row r="16" spans="1:6" ht="12.75">
      <c r="A16">
        <f t="shared" si="1"/>
        <v>7</v>
      </c>
      <c r="B16" s="169">
        <f t="shared" si="0"/>
        <v>39203</v>
      </c>
      <c r="C16" s="187">
        <f t="shared" si="2"/>
        <v>68080</v>
      </c>
      <c r="D16" s="187">
        <f t="shared" si="3"/>
        <v>454</v>
      </c>
      <c r="E16" s="187">
        <f t="shared" si="5"/>
        <v>669</v>
      </c>
      <c r="F16" s="187">
        <f t="shared" si="4"/>
        <v>67411</v>
      </c>
    </row>
    <row r="17" spans="1:6" ht="12.75">
      <c r="A17">
        <f t="shared" si="1"/>
        <v>8</v>
      </c>
      <c r="B17" s="169">
        <f t="shared" si="0"/>
        <v>39233</v>
      </c>
      <c r="C17" s="187">
        <f t="shared" si="2"/>
        <v>67411</v>
      </c>
      <c r="D17" s="187">
        <f t="shared" si="3"/>
        <v>450</v>
      </c>
      <c r="E17" s="187">
        <f t="shared" si="5"/>
        <v>673</v>
      </c>
      <c r="F17" s="187">
        <f t="shared" si="4"/>
        <v>66738</v>
      </c>
    </row>
    <row r="18" spans="1:6" ht="12.75">
      <c r="A18">
        <f t="shared" si="1"/>
        <v>9</v>
      </c>
      <c r="B18" s="169">
        <f t="shared" si="0"/>
        <v>39264</v>
      </c>
      <c r="C18" s="187">
        <f t="shared" si="2"/>
        <v>66738</v>
      </c>
      <c r="D18" s="187">
        <f t="shared" si="3"/>
        <v>445</v>
      </c>
      <c r="E18" s="187">
        <f t="shared" si="5"/>
        <v>678</v>
      </c>
      <c r="F18" s="187">
        <f t="shared" si="4"/>
        <v>66060</v>
      </c>
    </row>
    <row r="19" spans="1:6" ht="12.75">
      <c r="A19">
        <f t="shared" si="1"/>
        <v>10</v>
      </c>
      <c r="B19" s="169">
        <f t="shared" si="0"/>
        <v>39294</v>
      </c>
      <c r="C19" s="187">
        <f t="shared" si="2"/>
        <v>66060</v>
      </c>
      <c r="D19" s="187">
        <f t="shared" si="3"/>
        <v>441</v>
      </c>
      <c r="E19" s="187">
        <f t="shared" si="5"/>
        <v>682</v>
      </c>
      <c r="F19" s="187">
        <f t="shared" si="4"/>
        <v>65378</v>
      </c>
    </row>
    <row r="20" spans="1:6" ht="12.75">
      <c r="A20">
        <f t="shared" si="1"/>
        <v>11</v>
      </c>
      <c r="B20" s="169">
        <f t="shared" si="0"/>
        <v>39325</v>
      </c>
      <c r="C20" s="187">
        <f t="shared" si="2"/>
        <v>65378</v>
      </c>
      <c r="D20" s="187">
        <f t="shared" si="3"/>
        <v>436</v>
      </c>
      <c r="E20" s="187">
        <f t="shared" si="5"/>
        <v>687</v>
      </c>
      <c r="F20" s="187">
        <f t="shared" si="4"/>
        <v>64691</v>
      </c>
    </row>
    <row r="21" spans="1:6" ht="12.75">
      <c r="A21">
        <f t="shared" si="1"/>
        <v>12</v>
      </c>
      <c r="B21" s="169">
        <f t="shared" si="0"/>
        <v>39356</v>
      </c>
      <c r="C21" s="187">
        <f t="shared" si="2"/>
        <v>64691</v>
      </c>
      <c r="D21" s="187">
        <f t="shared" si="3"/>
        <v>432</v>
      </c>
      <c r="E21" s="187">
        <f t="shared" si="5"/>
        <v>691</v>
      </c>
      <c r="F21" s="187">
        <f t="shared" si="4"/>
        <v>64000</v>
      </c>
    </row>
    <row r="22" spans="1:6" ht="12.75">
      <c r="A22">
        <f t="shared" si="1"/>
        <v>13</v>
      </c>
      <c r="B22" s="169">
        <f t="shared" si="0"/>
        <v>39386</v>
      </c>
      <c r="C22" s="187">
        <f t="shared" si="2"/>
        <v>64000</v>
      </c>
      <c r="D22" s="187">
        <f t="shared" si="3"/>
        <v>427</v>
      </c>
      <c r="E22" s="187">
        <f t="shared" si="5"/>
        <v>696</v>
      </c>
      <c r="F22" s="187">
        <f t="shared" si="4"/>
        <v>63304</v>
      </c>
    </row>
    <row r="23" spans="1:6" ht="12.75">
      <c r="A23">
        <f t="shared" si="1"/>
        <v>14</v>
      </c>
      <c r="B23" s="169">
        <f t="shared" si="0"/>
        <v>39417</v>
      </c>
      <c r="C23" s="187">
        <f t="shared" si="2"/>
        <v>63304</v>
      </c>
      <c r="D23" s="187">
        <f t="shared" si="3"/>
        <v>423</v>
      </c>
      <c r="E23" s="187">
        <f t="shared" si="5"/>
        <v>700</v>
      </c>
      <c r="F23" s="187">
        <f t="shared" si="4"/>
        <v>62604</v>
      </c>
    </row>
    <row r="24" spans="1:6" ht="12.75">
      <c r="A24">
        <f t="shared" si="1"/>
        <v>15</v>
      </c>
      <c r="B24" s="169">
        <f t="shared" si="0"/>
        <v>39447</v>
      </c>
      <c r="C24" s="187">
        <f t="shared" si="2"/>
        <v>62604</v>
      </c>
      <c r="D24" s="187">
        <f t="shared" si="3"/>
        <v>418</v>
      </c>
      <c r="E24" s="187">
        <f t="shared" si="5"/>
        <v>705</v>
      </c>
      <c r="F24" s="187">
        <f t="shared" si="4"/>
        <v>61899</v>
      </c>
    </row>
    <row r="25" spans="1:6" ht="12.75">
      <c r="A25">
        <f t="shared" si="1"/>
        <v>16</v>
      </c>
      <c r="B25" s="169">
        <f t="shared" si="0"/>
        <v>39478</v>
      </c>
      <c r="C25" s="187">
        <f t="shared" si="2"/>
        <v>61899</v>
      </c>
      <c r="D25" s="187">
        <f t="shared" si="3"/>
        <v>413</v>
      </c>
      <c r="E25" s="187">
        <f t="shared" si="5"/>
        <v>710</v>
      </c>
      <c r="F25" s="187">
        <f t="shared" si="4"/>
        <v>61189</v>
      </c>
    </row>
    <row r="26" spans="1:6" ht="12.75">
      <c r="A26">
        <f t="shared" si="1"/>
        <v>17</v>
      </c>
      <c r="B26" s="169">
        <f t="shared" si="0"/>
        <v>39509</v>
      </c>
      <c r="C26" s="187">
        <f t="shared" si="2"/>
        <v>61189</v>
      </c>
      <c r="D26" s="187">
        <f t="shared" si="3"/>
        <v>408</v>
      </c>
      <c r="E26" s="187">
        <f t="shared" si="5"/>
        <v>715</v>
      </c>
      <c r="F26" s="187">
        <f t="shared" si="4"/>
        <v>60474</v>
      </c>
    </row>
    <row r="27" spans="1:6" ht="12.75">
      <c r="A27">
        <f t="shared" si="1"/>
        <v>18</v>
      </c>
      <c r="B27" s="169">
        <f t="shared" si="0"/>
        <v>39538</v>
      </c>
      <c r="C27" s="187">
        <f t="shared" si="2"/>
        <v>60474</v>
      </c>
      <c r="D27" s="187">
        <f t="shared" si="3"/>
        <v>404</v>
      </c>
      <c r="E27" s="187">
        <f t="shared" si="5"/>
        <v>719</v>
      </c>
      <c r="F27" s="187">
        <f t="shared" si="4"/>
        <v>59755</v>
      </c>
    </row>
    <row r="28" spans="1:6" ht="12.75">
      <c r="A28">
        <f t="shared" si="1"/>
        <v>19</v>
      </c>
      <c r="B28" s="169">
        <f t="shared" si="0"/>
        <v>39569</v>
      </c>
      <c r="C28" s="187">
        <f t="shared" si="2"/>
        <v>59755</v>
      </c>
      <c r="D28" s="187">
        <f t="shared" si="3"/>
        <v>399</v>
      </c>
      <c r="E28" s="187">
        <f t="shared" si="5"/>
        <v>724</v>
      </c>
      <c r="F28" s="187">
        <f t="shared" si="4"/>
        <v>59031</v>
      </c>
    </row>
    <row r="29" spans="1:6" ht="12.75">
      <c r="A29">
        <f t="shared" si="1"/>
        <v>20</v>
      </c>
      <c r="B29" s="169">
        <f t="shared" si="0"/>
        <v>39599</v>
      </c>
      <c r="C29" s="187">
        <f t="shared" si="2"/>
        <v>59031</v>
      </c>
      <c r="D29" s="187">
        <f t="shared" si="3"/>
        <v>394</v>
      </c>
      <c r="E29" s="187">
        <f t="shared" si="5"/>
        <v>729</v>
      </c>
      <c r="F29" s="187">
        <f t="shared" si="4"/>
        <v>58302</v>
      </c>
    </row>
    <row r="30" spans="1:6" ht="12.75">
      <c r="A30">
        <f t="shared" si="1"/>
        <v>21</v>
      </c>
      <c r="B30" s="169">
        <f t="shared" si="0"/>
        <v>39630</v>
      </c>
      <c r="C30" s="187">
        <f t="shared" si="2"/>
        <v>58302</v>
      </c>
      <c r="D30" s="187">
        <f t="shared" si="3"/>
        <v>389</v>
      </c>
      <c r="E30" s="187">
        <f t="shared" si="5"/>
        <v>734</v>
      </c>
      <c r="F30" s="187">
        <f t="shared" si="4"/>
        <v>57568</v>
      </c>
    </row>
    <row r="31" spans="1:6" ht="12.75">
      <c r="A31">
        <f t="shared" si="1"/>
        <v>22</v>
      </c>
      <c r="B31" s="169">
        <f t="shared" si="0"/>
        <v>39660</v>
      </c>
      <c r="C31" s="187">
        <f t="shared" si="2"/>
        <v>57568</v>
      </c>
      <c r="D31" s="187">
        <f t="shared" si="3"/>
        <v>384</v>
      </c>
      <c r="E31" s="187">
        <f t="shared" si="5"/>
        <v>739</v>
      </c>
      <c r="F31" s="187">
        <f t="shared" si="4"/>
        <v>56829</v>
      </c>
    </row>
    <row r="32" spans="1:6" ht="12.75">
      <c r="A32">
        <f t="shared" si="1"/>
        <v>23</v>
      </c>
      <c r="B32" s="169">
        <f t="shared" si="0"/>
        <v>39691</v>
      </c>
      <c r="C32" s="187">
        <f t="shared" si="2"/>
        <v>56829</v>
      </c>
      <c r="D32" s="187">
        <f t="shared" si="3"/>
        <v>379</v>
      </c>
      <c r="E32" s="187">
        <f t="shared" si="5"/>
        <v>744</v>
      </c>
      <c r="F32" s="187">
        <f t="shared" si="4"/>
        <v>56085</v>
      </c>
    </row>
    <row r="33" spans="1:6" ht="12.75">
      <c r="A33">
        <v>24</v>
      </c>
      <c r="B33" s="169">
        <f t="shared" si="0"/>
        <v>39722</v>
      </c>
      <c r="C33" s="187">
        <f t="shared" si="2"/>
        <v>56085</v>
      </c>
      <c r="D33" s="187">
        <f t="shared" si="3"/>
        <v>374</v>
      </c>
      <c r="E33" s="187">
        <f t="shared" si="5"/>
        <v>749</v>
      </c>
      <c r="F33" s="187">
        <f t="shared" si="4"/>
        <v>55336</v>
      </c>
    </row>
    <row r="34" spans="1:6" ht="12.75">
      <c r="A34">
        <v>25</v>
      </c>
      <c r="B34" s="169">
        <f t="shared" si="0"/>
        <v>39752</v>
      </c>
      <c r="C34" s="187">
        <f t="shared" si="2"/>
        <v>55336</v>
      </c>
      <c r="D34" s="187">
        <f t="shared" si="3"/>
        <v>369</v>
      </c>
      <c r="E34" s="187">
        <f t="shared" si="5"/>
        <v>754</v>
      </c>
      <c r="F34" s="187">
        <f t="shared" si="4"/>
        <v>54582</v>
      </c>
    </row>
    <row r="35" spans="1:6" ht="12.75">
      <c r="A35">
        <v>26</v>
      </c>
      <c r="B35" s="169">
        <f t="shared" si="0"/>
        <v>39783</v>
      </c>
      <c r="C35" s="187">
        <f t="shared" si="2"/>
        <v>54582</v>
      </c>
      <c r="D35" s="187">
        <f t="shared" si="3"/>
        <v>364</v>
      </c>
      <c r="E35" s="187">
        <f t="shared" si="5"/>
        <v>759</v>
      </c>
      <c r="F35" s="187">
        <f t="shared" si="4"/>
        <v>53823</v>
      </c>
    </row>
    <row r="36" spans="1:6" ht="12.75">
      <c r="A36">
        <v>27</v>
      </c>
      <c r="B36" s="169">
        <f t="shared" si="0"/>
        <v>39813</v>
      </c>
      <c r="C36" s="187">
        <f t="shared" si="2"/>
        <v>53823</v>
      </c>
      <c r="D36" s="187">
        <f t="shared" si="3"/>
        <v>359</v>
      </c>
      <c r="E36" s="187">
        <f t="shared" si="5"/>
        <v>764</v>
      </c>
      <c r="F36" s="187">
        <f t="shared" si="4"/>
        <v>53059</v>
      </c>
    </row>
    <row r="37" spans="1:6" ht="12.75">
      <c r="A37">
        <v>28</v>
      </c>
      <c r="B37" s="169">
        <f t="shared" si="0"/>
        <v>39844</v>
      </c>
      <c r="C37" s="187">
        <f t="shared" si="2"/>
        <v>53059</v>
      </c>
      <c r="D37" s="187">
        <f t="shared" si="3"/>
        <v>354</v>
      </c>
      <c r="E37" s="187">
        <f t="shared" si="5"/>
        <v>769</v>
      </c>
      <c r="F37" s="187">
        <f t="shared" si="4"/>
        <v>52290</v>
      </c>
    </row>
    <row r="38" spans="1:6" ht="12.75">
      <c r="A38">
        <v>29</v>
      </c>
      <c r="B38" s="169">
        <f t="shared" si="0"/>
        <v>39875</v>
      </c>
      <c r="C38" s="187">
        <f t="shared" si="2"/>
        <v>52290</v>
      </c>
      <c r="D38" s="187">
        <f t="shared" si="3"/>
        <v>349</v>
      </c>
      <c r="E38" s="187">
        <f t="shared" si="5"/>
        <v>774</v>
      </c>
      <c r="F38" s="187">
        <f t="shared" si="4"/>
        <v>51516</v>
      </c>
    </row>
    <row r="39" spans="1:6" ht="12.75">
      <c r="A39">
        <v>30</v>
      </c>
      <c r="B39" s="169">
        <f t="shared" si="0"/>
        <v>39903</v>
      </c>
      <c r="C39" s="187">
        <f t="shared" si="2"/>
        <v>51516</v>
      </c>
      <c r="D39" s="187">
        <f t="shared" si="3"/>
        <v>344</v>
      </c>
      <c r="E39" s="187">
        <f t="shared" si="5"/>
        <v>779</v>
      </c>
      <c r="F39" s="187">
        <f t="shared" si="4"/>
        <v>50737</v>
      </c>
    </row>
    <row r="40" spans="1:6" ht="12.75">
      <c r="A40">
        <v>31</v>
      </c>
      <c r="B40" s="169">
        <f t="shared" si="0"/>
        <v>39934</v>
      </c>
      <c r="C40" s="187">
        <f t="shared" si="2"/>
        <v>50737</v>
      </c>
      <c r="D40" s="187">
        <f t="shared" si="3"/>
        <v>339</v>
      </c>
      <c r="E40" s="187">
        <f t="shared" si="5"/>
        <v>784</v>
      </c>
      <c r="F40" s="187">
        <f t="shared" si="4"/>
        <v>49953</v>
      </c>
    </row>
    <row r="41" spans="1:6" ht="12.75">
      <c r="A41">
        <v>32</v>
      </c>
      <c r="B41" s="169">
        <f t="shared" si="0"/>
        <v>39964</v>
      </c>
      <c r="C41" s="187">
        <f t="shared" si="2"/>
        <v>49953</v>
      </c>
      <c r="D41" s="187">
        <f t="shared" si="3"/>
        <v>334</v>
      </c>
      <c r="E41" s="187">
        <f t="shared" si="5"/>
        <v>789</v>
      </c>
      <c r="F41" s="187">
        <f t="shared" si="4"/>
        <v>49164</v>
      </c>
    </row>
    <row r="42" spans="1:6" ht="12.75">
      <c r="A42">
        <v>33</v>
      </c>
      <c r="B42" s="169">
        <f t="shared" si="0"/>
        <v>39995</v>
      </c>
      <c r="C42" s="187">
        <f t="shared" si="2"/>
        <v>49164</v>
      </c>
      <c r="D42" s="187">
        <f t="shared" si="3"/>
        <v>328</v>
      </c>
      <c r="E42" s="187">
        <f t="shared" si="5"/>
        <v>795</v>
      </c>
      <c r="F42" s="187">
        <f t="shared" si="4"/>
        <v>48369</v>
      </c>
    </row>
    <row r="43" spans="1:6" ht="12.75">
      <c r="A43">
        <v>34</v>
      </c>
      <c r="B43" s="169">
        <f aca="true" t="shared" si="6" ref="B43:B81">IF(A43&lt;&gt;"",DATE(YEAR(Start_Date),MONTH(Start_Date)+(A43-1)*12/Num_Pmts,DAY(Start_Date)),"")</f>
        <v>40025</v>
      </c>
      <c r="C43" s="187">
        <f t="shared" si="2"/>
        <v>48369</v>
      </c>
      <c r="D43" s="187">
        <f t="shared" si="3"/>
        <v>323</v>
      </c>
      <c r="E43" s="187">
        <f t="shared" si="5"/>
        <v>800</v>
      </c>
      <c r="F43" s="187">
        <f t="shared" si="4"/>
        <v>47569</v>
      </c>
    </row>
    <row r="44" spans="1:6" ht="12.75">
      <c r="A44">
        <v>35</v>
      </c>
      <c r="B44" s="169">
        <f t="shared" si="6"/>
        <v>40056</v>
      </c>
      <c r="C44" s="187">
        <f t="shared" si="2"/>
        <v>47569</v>
      </c>
      <c r="D44" s="187">
        <f t="shared" si="3"/>
        <v>318</v>
      </c>
      <c r="E44" s="187">
        <f t="shared" si="5"/>
        <v>805</v>
      </c>
      <c r="F44" s="187">
        <f t="shared" si="4"/>
        <v>46764</v>
      </c>
    </row>
    <row r="45" spans="1:6" ht="12.75">
      <c r="A45">
        <v>36</v>
      </c>
      <c r="B45" s="169">
        <f t="shared" si="6"/>
        <v>40087</v>
      </c>
      <c r="C45" s="187">
        <f t="shared" si="2"/>
        <v>46764</v>
      </c>
      <c r="D45" s="187">
        <f t="shared" si="3"/>
        <v>312</v>
      </c>
      <c r="E45" s="187">
        <f t="shared" si="5"/>
        <v>811</v>
      </c>
      <c r="F45" s="187">
        <f t="shared" si="4"/>
        <v>45953</v>
      </c>
    </row>
    <row r="46" spans="1:6" ht="12.75">
      <c r="A46">
        <v>37</v>
      </c>
      <c r="B46" s="169">
        <f t="shared" si="6"/>
        <v>40117</v>
      </c>
      <c r="C46" s="187">
        <f t="shared" si="2"/>
        <v>45953</v>
      </c>
      <c r="D46" s="187">
        <f t="shared" si="3"/>
        <v>307</v>
      </c>
      <c r="E46" s="187">
        <f t="shared" si="5"/>
        <v>816</v>
      </c>
      <c r="F46" s="187">
        <f t="shared" si="4"/>
        <v>45137</v>
      </c>
    </row>
    <row r="47" spans="1:6" ht="12.75">
      <c r="A47">
        <v>38</v>
      </c>
      <c r="B47" s="169">
        <f t="shared" si="6"/>
        <v>40148</v>
      </c>
      <c r="C47" s="187">
        <f t="shared" si="2"/>
        <v>45137</v>
      </c>
      <c r="D47" s="187">
        <f t="shared" si="3"/>
        <v>301</v>
      </c>
      <c r="E47" s="187">
        <f t="shared" si="5"/>
        <v>822</v>
      </c>
      <c r="F47" s="187">
        <f t="shared" si="4"/>
        <v>44315</v>
      </c>
    </row>
    <row r="48" spans="1:6" ht="12.75">
      <c r="A48">
        <v>39</v>
      </c>
      <c r="B48" s="169">
        <f t="shared" si="6"/>
        <v>40178</v>
      </c>
      <c r="C48" s="187">
        <f t="shared" si="2"/>
        <v>44315</v>
      </c>
      <c r="D48" s="187">
        <f t="shared" si="3"/>
        <v>296</v>
      </c>
      <c r="E48" s="187">
        <f t="shared" si="5"/>
        <v>827</v>
      </c>
      <c r="F48" s="187">
        <f t="shared" si="4"/>
        <v>43488</v>
      </c>
    </row>
    <row r="49" spans="1:6" ht="12.75">
      <c r="A49">
        <v>40</v>
      </c>
      <c r="B49" s="169">
        <f t="shared" si="6"/>
        <v>40209</v>
      </c>
      <c r="C49" s="187">
        <f t="shared" si="2"/>
        <v>43488</v>
      </c>
      <c r="D49" s="187">
        <f t="shared" si="3"/>
        <v>290</v>
      </c>
      <c r="E49" s="187">
        <f t="shared" si="5"/>
        <v>833</v>
      </c>
      <c r="F49" s="187">
        <f t="shared" si="4"/>
        <v>42655</v>
      </c>
    </row>
    <row r="50" spans="1:6" ht="12.75">
      <c r="A50">
        <v>41</v>
      </c>
      <c r="B50" s="169">
        <f t="shared" si="6"/>
        <v>40240</v>
      </c>
      <c r="C50" s="187">
        <f t="shared" si="2"/>
        <v>42655</v>
      </c>
      <c r="D50" s="187">
        <f t="shared" si="3"/>
        <v>285</v>
      </c>
      <c r="E50" s="187">
        <f t="shared" si="5"/>
        <v>838</v>
      </c>
      <c r="F50" s="187">
        <f t="shared" si="4"/>
        <v>41817</v>
      </c>
    </row>
    <row r="51" spans="1:6" ht="12.75">
      <c r="A51">
        <v>42</v>
      </c>
      <c r="B51" s="169">
        <f t="shared" si="6"/>
        <v>40268</v>
      </c>
      <c r="C51" s="187">
        <f t="shared" si="2"/>
        <v>41817</v>
      </c>
      <c r="D51" s="187">
        <f t="shared" si="3"/>
        <v>279</v>
      </c>
      <c r="E51" s="187">
        <f t="shared" si="5"/>
        <v>844</v>
      </c>
      <c r="F51" s="187">
        <f t="shared" si="4"/>
        <v>40973</v>
      </c>
    </row>
    <row r="52" spans="1:6" ht="12.75">
      <c r="A52">
        <v>43</v>
      </c>
      <c r="B52" s="169">
        <f t="shared" si="6"/>
        <v>40299</v>
      </c>
      <c r="C52" s="187">
        <f t="shared" si="2"/>
        <v>40973</v>
      </c>
      <c r="D52" s="187">
        <f t="shared" si="3"/>
        <v>274</v>
      </c>
      <c r="E52" s="187">
        <f t="shared" si="5"/>
        <v>849</v>
      </c>
      <c r="F52" s="187">
        <f t="shared" si="4"/>
        <v>40124</v>
      </c>
    </row>
    <row r="53" spans="1:6" ht="12.75">
      <c r="A53">
        <v>44</v>
      </c>
      <c r="B53" s="169">
        <f t="shared" si="6"/>
        <v>40329</v>
      </c>
      <c r="C53" s="187">
        <f t="shared" si="2"/>
        <v>40124</v>
      </c>
      <c r="D53" s="187">
        <f t="shared" si="3"/>
        <v>268</v>
      </c>
      <c r="E53" s="187">
        <f t="shared" si="5"/>
        <v>855</v>
      </c>
      <c r="F53" s="187">
        <f t="shared" si="4"/>
        <v>39269</v>
      </c>
    </row>
    <row r="54" spans="1:6" ht="12.75">
      <c r="A54">
        <v>45</v>
      </c>
      <c r="B54" s="169">
        <f t="shared" si="6"/>
        <v>40360</v>
      </c>
      <c r="C54" s="187">
        <f t="shared" si="2"/>
        <v>39269</v>
      </c>
      <c r="D54" s="187">
        <f t="shared" si="3"/>
        <v>262</v>
      </c>
      <c r="E54" s="187">
        <f t="shared" si="5"/>
        <v>861</v>
      </c>
      <c r="F54" s="187">
        <f t="shared" si="4"/>
        <v>38408</v>
      </c>
    </row>
    <row r="55" spans="1:6" ht="12.75">
      <c r="A55">
        <v>46</v>
      </c>
      <c r="B55" s="169">
        <f t="shared" si="6"/>
        <v>40390</v>
      </c>
      <c r="C55" s="187">
        <f t="shared" si="2"/>
        <v>38408</v>
      </c>
      <c r="D55" s="187">
        <f t="shared" si="3"/>
        <v>257</v>
      </c>
      <c r="E55" s="187">
        <f t="shared" si="5"/>
        <v>866</v>
      </c>
      <c r="F55" s="187">
        <f t="shared" si="4"/>
        <v>37542</v>
      </c>
    </row>
    <row r="56" spans="1:6" ht="12.75">
      <c r="A56">
        <v>47</v>
      </c>
      <c r="B56" s="169">
        <f t="shared" si="6"/>
        <v>40421</v>
      </c>
      <c r="C56" s="187">
        <f t="shared" si="2"/>
        <v>37542</v>
      </c>
      <c r="D56" s="187">
        <f t="shared" si="3"/>
        <v>251</v>
      </c>
      <c r="E56" s="187">
        <f t="shared" si="5"/>
        <v>872</v>
      </c>
      <c r="F56" s="187">
        <f t="shared" si="4"/>
        <v>36670</v>
      </c>
    </row>
    <row r="57" spans="1:6" ht="12.75">
      <c r="A57">
        <v>48</v>
      </c>
      <c r="B57" s="169">
        <f t="shared" si="6"/>
        <v>40452</v>
      </c>
      <c r="C57" s="187">
        <f t="shared" si="2"/>
        <v>36670</v>
      </c>
      <c r="D57" s="187">
        <f t="shared" si="3"/>
        <v>245</v>
      </c>
      <c r="E57" s="187">
        <f t="shared" si="5"/>
        <v>878</v>
      </c>
      <c r="F57" s="187">
        <f t="shared" si="4"/>
        <v>35792</v>
      </c>
    </row>
    <row r="58" spans="1:6" ht="12.75">
      <c r="A58">
        <v>49</v>
      </c>
      <c r="B58" s="169">
        <f t="shared" si="6"/>
        <v>40482</v>
      </c>
      <c r="C58" s="187">
        <f t="shared" si="2"/>
        <v>35792</v>
      </c>
      <c r="D58" s="187">
        <f t="shared" si="3"/>
        <v>239</v>
      </c>
      <c r="E58" s="187">
        <f t="shared" si="5"/>
        <v>884</v>
      </c>
      <c r="F58" s="187">
        <f t="shared" si="4"/>
        <v>34908</v>
      </c>
    </row>
    <row r="59" spans="1:6" ht="12.75">
      <c r="A59">
        <v>50</v>
      </c>
      <c r="B59" s="169">
        <f t="shared" si="6"/>
        <v>40513</v>
      </c>
      <c r="C59" s="187">
        <f t="shared" si="2"/>
        <v>34908</v>
      </c>
      <c r="D59" s="187">
        <f t="shared" si="3"/>
        <v>233</v>
      </c>
      <c r="E59" s="187">
        <f t="shared" si="5"/>
        <v>890</v>
      </c>
      <c r="F59" s="187">
        <f t="shared" si="4"/>
        <v>34018</v>
      </c>
    </row>
    <row r="60" spans="1:6" ht="12.75">
      <c r="A60">
        <v>51</v>
      </c>
      <c r="B60" s="169">
        <f t="shared" si="6"/>
        <v>40543</v>
      </c>
      <c r="C60" s="187">
        <f t="shared" si="2"/>
        <v>34018</v>
      </c>
      <c r="D60" s="187">
        <f t="shared" si="3"/>
        <v>227</v>
      </c>
      <c r="E60" s="187">
        <f t="shared" si="5"/>
        <v>896</v>
      </c>
      <c r="F60" s="187">
        <f t="shared" si="4"/>
        <v>33122</v>
      </c>
    </row>
    <row r="61" spans="1:6" ht="12.75">
      <c r="A61">
        <v>52</v>
      </c>
      <c r="B61" s="169">
        <f t="shared" si="6"/>
        <v>40574</v>
      </c>
      <c r="C61" s="187">
        <f t="shared" si="2"/>
        <v>33122</v>
      </c>
      <c r="D61" s="187">
        <f t="shared" si="3"/>
        <v>221</v>
      </c>
      <c r="E61" s="187">
        <f t="shared" si="5"/>
        <v>902</v>
      </c>
      <c r="F61" s="187">
        <f t="shared" si="4"/>
        <v>32220</v>
      </c>
    </row>
    <row r="62" spans="1:6" ht="12.75">
      <c r="A62">
        <v>53</v>
      </c>
      <c r="B62" s="169">
        <f t="shared" si="6"/>
        <v>40605</v>
      </c>
      <c r="C62" s="187">
        <f t="shared" si="2"/>
        <v>32220</v>
      </c>
      <c r="D62" s="187">
        <f t="shared" si="3"/>
        <v>215</v>
      </c>
      <c r="E62" s="187">
        <f t="shared" si="5"/>
        <v>908</v>
      </c>
      <c r="F62" s="187">
        <f t="shared" si="4"/>
        <v>31312</v>
      </c>
    </row>
    <row r="63" spans="1:6" ht="12.75">
      <c r="A63">
        <v>54</v>
      </c>
      <c r="B63" s="169">
        <f t="shared" si="6"/>
        <v>40633</v>
      </c>
      <c r="C63" s="187">
        <f t="shared" si="2"/>
        <v>31312</v>
      </c>
      <c r="D63" s="187">
        <f t="shared" si="3"/>
        <v>209</v>
      </c>
      <c r="E63" s="187">
        <f t="shared" si="5"/>
        <v>914</v>
      </c>
      <c r="F63" s="187">
        <f t="shared" si="4"/>
        <v>30398</v>
      </c>
    </row>
    <row r="64" spans="1:6" ht="12.75">
      <c r="A64">
        <v>55</v>
      </c>
      <c r="B64" s="169">
        <f t="shared" si="6"/>
        <v>40664</v>
      </c>
      <c r="C64" s="187">
        <f t="shared" si="2"/>
        <v>30398</v>
      </c>
      <c r="D64" s="187">
        <f t="shared" si="3"/>
        <v>203</v>
      </c>
      <c r="E64" s="187">
        <f t="shared" si="5"/>
        <v>920</v>
      </c>
      <c r="F64" s="187">
        <f t="shared" si="4"/>
        <v>29478</v>
      </c>
    </row>
    <row r="65" spans="1:6" ht="12.75">
      <c r="A65">
        <v>56</v>
      </c>
      <c r="B65" s="169">
        <f t="shared" si="6"/>
        <v>40694</v>
      </c>
      <c r="C65" s="187">
        <f t="shared" si="2"/>
        <v>29478</v>
      </c>
      <c r="D65" s="187">
        <f t="shared" si="3"/>
        <v>197</v>
      </c>
      <c r="E65" s="187">
        <f t="shared" si="5"/>
        <v>926</v>
      </c>
      <c r="F65" s="187">
        <f t="shared" si="4"/>
        <v>28552</v>
      </c>
    </row>
    <row r="66" spans="1:6" ht="12.75">
      <c r="A66">
        <v>57</v>
      </c>
      <c r="B66" s="169">
        <f t="shared" si="6"/>
        <v>40725</v>
      </c>
      <c r="C66" s="187">
        <f t="shared" si="2"/>
        <v>28552</v>
      </c>
      <c r="D66" s="187">
        <f t="shared" si="3"/>
        <v>191</v>
      </c>
      <c r="E66" s="187">
        <f t="shared" si="5"/>
        <v>932</v>
      </c>
      <c r="F66" s="187">
        <f t="shared" si="4"/>
        <v>27620</v>
      </c>
    </row>
    <row r="67" spans="1:6" ht="12.75">
      <c r="A67">
        <v>58</v>
      </c>
      <c r="B67" s="169">
        <f t="shared" si="6"/>
        <v>40755</v>
      </c>
      <c r="C67" s="187">
        <f t="shared" si="2"/>
        <v>27620</v>
      </c>
      <c r="D67" s="187">
        <f t="shared" si="3"/>
        <v>185</v>
      </c>
      <c r="E67" s="187">
        <f t="shared" si="5"/>
        <v>938</v>
      </c>
      <c r="F67" s="187">
        <f t="shared" si="4"/>
        <v>26682</v>
      </c>
    </row>
    <row r="68" spans="1:6" ht="12.75">
      <c r="A68">
        <v>59</v>
      </c>
      <c r="B68" s="169">
        <f t="shared" si="6"/>
        <v>40786</v>
      </c>
      <c r="C68" s="187">
        <f t="shared" si="2"/>
        <v>26682</v>
      </c>
      <c r="D68" s="187">
        <f t="shared" si="3"/>
        <v>178</v>
      </c>
      <c r="E68" s="187">
        <f t="shared" si="5"/>
        <v>945</v>
      </c>
      <c r="F68" s="187">
        <f t="shared" si="4"/>
        <v>25737</v>
      </c>
    </row>
    <row r="69" spans="1:6" ht="12.75">
      <c r="A69">
        <v>60</v>
      </c>
      <c r="B69" s="169">
        <f t="shared" si="6"/>
        <v>40817</v>
      </c>
      <c r="C69" s="187">
        <f t="shared" si="2"/>
        <v>25737</v>
      </c>
      <c r="D69" s="187">
        <f t="shared" si="3"/>
        <v>172</v>
      </c>
      <c r="E69" s="187">
        <f t="shared" si="5"/>
        <v>951</v>
      </c>
      <c r="F69" s="187">
        <f t="shared" si="4"/>
        <v>24786</v>
      </c>
    </row>
    <row r="70" spans="1:6" ht="12.75">
      <c r="A70">
        <v>61</v>
      </c>
      <c r="B70" s="169">
        <f t="shared" si="6"/>
        <v>40847</v>
      </c>
      <c r="C70" s="187">
        <f t="shared" si="2"/>
        <v>24786</v>
      </c>
      <c r="D70" s="187">
        <f t="shared" si="3"/>
        <v>166</v>
      </c>
      <c r="E70" s="187">
        <f t="shared" si="5"/>
        <v>957</v>
      </c>
      <c r="F70" s="187">
        <f t="shared" si="4"/>
        <v>23829</v>
      </c>
    </row>
    <row r="71" spans="1:6" ht="12.75">
      <c r="A71">
        <v>62</v>
      </c>
      <c r="B71" s="169">
        <f t="shared" si="6"/>
        <v>40878</v>
      </c>
      <c r="C71" s="187">
        <f t="shared" si="2"/>
        <v>23829</v>
      </c>
      <c r="D71" s="187">
        <f t="shared" si="3"/>
        <v>159</v>
      </c>
      <c r="E71" s="187">
        <f t="shared" si="5"/>
        <v>964</v>
      </c>
      <c r="F71" s="187">
        <f t="shared" si="4"/>
        <v>22865</v>
      </c>
    </row>
    <row r="72" spans="1:6" ht="12.75">
      <c r="A72">
        <v>63</v>
      </c>
      <c r="B72" s="169">
        <f t="shared" si="6"/>
        <v>40908</v>
      </c>
      <c r="C72" s="187">
        <f t="shared" si="2"/>
        <v>22865</v>
      </c>
      <c r="D72" s="187">
        <f t="shared" si="3"/>
        <v>153</v>
      </c>
      <c r="E72" s="187">
        <f t="shared" si="5"/>
        <v>970</v>
      </c>
      <c r="F72" s="187">
        <f t="shared" si="4"/>
        <v>21895</v>
      </c>
    </row>
    <row r="73" spans="1:6" ht="12.75">
      <c r="A73">
        <v>64</v>
      </c>
      <c r="B73" s="169">
        <f t="shared" si="6"/>
        <v>40939</v>
      </c>
      <c r="C73" s="187">
        <f t="shared" si="2"/>
        <v>21895</v>
      </c>
      <c r="D73" s="187">
        <f t="shared" si="3"/>
        <v>146</v>
      </c>
      <c r="E73" s="187">
        <f t="shared" si="5"/>
        <v>977</v>
      </c>
      <c r="F73" s="187">
        <f t="shared" si="4"/>
        <v>20918</v>
      </c>
    </row>
    <row r="74" spans="1:6" ht="12.75">
      <c r="A74">
        <v>65</v>
      </c>
      <c r="B74" s="169">
        <f t="shared" si="6"/>
        <v>40970</v>
      </c>
      <c r="C74" s="187">
        <f t="shared" si="2"/>
        <v>20918</v>
      </c>
      <c r="D74" s="187">
        <f t="shared" si="3"/>
        <v>140</v>
      </c>
      <c r="E74" s="187">
        <f t="shared" si="5"/>
        <v>983</v>
      </c>
      <c r="F74" s="187">
        <f t="shared" si="4"/>
        <v>19935</v>
      </c>
    </row>
    <row r="75" spans="1:6" ht="12.75">
      <c r="A75">
        <v>66</v>
      </c>
      <c r="B75" s="169">
        <f t="shared" si="6"/>
        <v>40999</v>
      </c>
      <c r="C75" s="187">
        <f aca="true" t="shared" si="7" ref="C75:C80">+F74</f>
        <v>19935</v>
      </c>
      <c r="D75" s="187">
        <f aca="true" t="shared" si="8" ref="D75:D81">ROUNDUP(IF(A75&lt;&gt;"",C75*(Int_Rate/Num_Pmts),""),0)</f>
        <v>133</v>
      </c>
      <c r="E75" s="187">
        <f t="shared" si="5"/>
        <v>990</v>
      </c>
      <c r="F75" s="187">
        <f aca="true" t="shared" si="9" ref="F75:F80">IF(F74&gt;1,F74-E75,0)</f>
        <v>18945</v>
      </c>
    </row>
    <row r="76" spans="1:6" ht="12.75">
      <c r="A76">
        <v>67</v>
      </c>
      <c r="B76" s="169">
        <f t="shared" si="6"/>
        <v>41030</v>
      </c>
      <c r="C76" s="187">
        <f t="shared" si="7"/>
        <v>18945</v>
      </c>
      <c r="D76" s="187">
        <f t="shared" si="8"/>
        <v>127</v>
      </c>
      <c r="E76" s="187">
        <f aca="true" t="shared" si="10" ref="E76:E81">ROUNDUP(IF(F75&gt;1,$D$4-D76,0),0)</f>
        <v>996</v>
      </c>
      <c r="F76" s="187">
        <f t="shared" si="9"/>
        <v>17949</v>
      </c>
    </row>
    <row r="77" spans="1:6" ht="12.75">
      <c r="A77">
        <v>68</v>
      </c>
      <c r="B77" s="169">
        <f t="shared" si="6"/>
        <v>41060</v>
      </c>
      <c r="C77" s="187">
        <f t="shared" si="7"/>
        <v>17949</v>
      </c>
      <c r="D77" s="187">
        <f t="shared" si="8"/>
        <v>120</v>
      </c>
      <c r="E77" s="187">
        <f t="shared" si="10"/>
        <v>1003</v>
      </c>
      <c r="F77" s="187">
        <f t="shared" si="9"/>
        <v>16946</v>
      </c>
    </row>
    <row r="78" spans="1:6" ht="12.75">
      <c r="A78">
        <v>69</v>
      </c>
      <c r="B78" s="169">
        <f t="shared" si="6"/>
        <v>41091</v>
      </c>
      <c r="C78" s="187">
        <f t="shared" si="7"/>
        <v>16946</v>
      </c>
      <c r="D78" s="187">
        <f t="shared" si="8"/>
        <v>113</v>
      </c>
      <c r="E78" s="187">
        <f t="shared" si="10"/>
        <v>1010</v>
      </c>
      <c r="F78" s="187">
        <f t="shared" si="9"/>
        <v>15936</v>
      </c>
    </row>
    <row r="79" spans="1:6" ht="12.75">
      <c r="A79">
        <v>70</v>
      </c>
      <c r="B79" s="169">
        <f t="shared" si="6"/>
        <v>41121</v>
      </c>
      <c r="C79" s="187">
        <f t="shared" si="7"/>
        <v>15936</v>
      </c>
      <c r="D79" s="187">
        <f t="shared" si="8"/>
        <v>107</v>
      </c>
      <c r="E79" s="187">
        <f t="shared" si="10"/>
        <v>1016</v>
      </c>
      <c r="F79" s="187">
        <f t="shared" si="9"/>
        <v>14920</v>
      </c>
    </row>
    <row r="80" spans="1:6" ht="12.75">
      <c r="A80">
        <v>71</v>
      </c>
      <c r="B80" s="169">
        <f t="shared" si="6"/>
        <v>41152</v>
      </c>
      <c r="C80" s="187">
        <f t="shared" si="7"/>
        <v>14920</v>
      </c>
      <c r="D80" s="187">
        <f t="shared" si="8"/>
        <v>100</v>
      </c>
      <c r="E80" s="187">
        <f t="shared" si="10"/>
        <v>1023</v>
      </c>
      <c r="F80" s="187">
        <f t="shared" si="9"/>
        <v>13897</v>
      </c>
    </row>
    <row r="81" spans="1:6" ht="12.75">
      <c r="A81">
        <v>72</v>
      </c>
      <c r="B81" s="169">
        <f t="shared" si="6"/>
        <v>41183</v>
      </c>
      <c r="C81" s="187">
        <f>+F80</f>
        <v>13897</v>
      </c>
      <c r="D81" s="187">
        <f t="shared" si="8"/>
        <v>93</v>
      </c>
      <c r="E81" s="187">
        <f t="shared" si="10"/>
        <v>1030</v>
      </c>
      <c r="F81" s="187">
        <f>IF(F80&gt;1,F80-E81,0)</f>
        <v>12867</v>
      </c>
    </row>
    <row r="82" spans="3:6" ht="12.75">
      <c r="C82" s="31"/>
      <c r="D82" s="31"/>
      <c r="E82" s="31"/>
      <c r="F82" s="31"/>
    </row>
    <row r="83" spans="3:6" ht="12.75">
      <c r="C83" s="31"/>
      <c r="D83" s="31"/>
      <c r="E83" s="31"/>
      <c r="F83" s="31"/>
    </row>
    <row r="84" spans="3:6" ht="12.75">
      <c r="C84" s="31"/>
      <c r="D84" s="31"/>
      <c r="E84" s="31"/>
      <c r="F84" s="31"/>
    </row>
    <row r="85" spans="3:6" ht="12.75">
      <c r="C85" s="31"/>
      <c r="D85" s="31"/>
      <c r="E85" s="31"/>
      <c r="F85" s="31"/>
    </row>
    <row r="86" spans="3:6" ht="12.75">
      <c r="C86" s="31"/>
      <c r="D86" s="31"/>
      <c r="E86" s="31"/>
      <c r="F86" s="31"/>
    </row>
    <row r="87" spans="3:6" ht="12.75">
      <c r="C87" s="31"/>
      <c r="D87" s="31"/>
      <c r="E87" s="31"/>
      <c r="F87" s="31"/>
    </row>
    <row r="88" spans="3:6" ht="12.75">
      <c r="C88" s="31"/>
      <c r="D88" s="31"/>
      <c r="E88" s="31"/>
      <c r="F88" s="31"/>
    </row>
    <row r="89" spans="3:6" ht="12.75">
      <c r="C89" s="31"/>
      <c r="D89" s="31"/>
      <c r="E89" s="31"/>
      <c r="F89" s="31"/>
    </row>
    <row r="90" spans="3:6" ht="12.75">
      <c r="C90" s="31"/>
      <c r="D90" s="31"/>
      <c r="E90" s="31"/>
      <c r="F90" s="31"/>
    </row>
    <row r="91" spans="3:6" ht="12.75">
      <c r="C91" s="31"/>
      <c r="D91" s="31"/>
      <c r="E91" s="31"/>
      <c r="F91" s="31"/>
    </row>
    <row r="92" spans="3:6" ht="12.75">
      <c r="C92" s="31"/>
      <c r="D92" s="31"/>
      <c r="E92" s="31"/>
      <c r="F92" s="31"/>
    </row>
    <row r="93" spans="3:6" ht="12.75">
      <c r="C93" s="31"/>
      <c r="D93" s="31"/>
      <c r="E93" s="31"/>
      <c r="F93" s="31"/>
    </row>
    <row r="94" spans="3:6" ht="12.75">
      <c r="C94" s="31"/>
      <c r="D94" s="31"/>
      <c r="E94" s="31"/>
      <c r="F94" s="31"/>
    </row>
    <row r="95" spans="3:6" ht="12.75">
      <c r="C95" s="31"/>
      <c r="D95" s="31"/>
      <c r="E95" s="31"/>
      <c r="F95" s="31"/>
    </row>
    <row r="96" spans="3:6" ht="12.75">
      <c r="C96" s="31"/>
      <c r="D96" s="31"/>
      <c r="E96" s="31"/>
      <c r="F96" s="31"/>
    </row>
    <row r="97" spans="3:6" ht="12.75">
      <c r="C97" s="31"/>
      <c r="D97" s="31"/>
      <c r="E97" s="31"/>
      <c r="F97" s="31"/>
    </row>
    <row r="98" spans="3:6" ht="12.75">
      <c r="C98" s="31"/>
      <c r="D98" s="31"/>
      <c r="E98" s="31"/>
      <c r="F98" s="31"/>
    </row>
    <row r="99" spans="3:6" ht="12.75">
      <c r="C99" s="31"/>
      <c r="D99" s="31"/>
      <c r="E99" s="31"/>
      <c r="F99" s="31"/>
    </row>
    <row r="100" spans="3:6" ht="12.75">
      <c r="C100" s="31"/>
      <c r="D100" s="31"/>
      <c r="E100" s="31"/>
      <c r="F100" s="31"/>
    </row>
    <row r="101" spans="3:6" ht="12.75">
      <c r="C101" s="31"/>
      <c r="D101" s="31"/>
      <c r="E101" s="31"/>
      <c r="F101" s="31"/>
    </row>
    <row r="102" spans="3:6" ht="12.75">
      <c r="C102" s="31"/>
      <c r="D102" s="31"/>
      <c r="E102" s="31"/>
      <c r="F102" s="31"/>
    </row>
    <row r="103" spans="3:6" ht="12.75">
      <c r="C103" s="31"/>
      <c r="D103" s="31"/>
      <c r="E103" s="31"/>
      <c r="F103" s="31"/>
    </row>
    <row r="104" spans="3:6" ht="12.75">
      <c r="C104" s="31"/>
      <c r="D104" s="31"/>
      <c r="E104" s="31"/>
      <c r="F104" s="31"/>
    </row>
    <row r="105" spans="3:6" ht="12.75">
      <c r="C105" s="31"/>
      <c r="D105" s="31"/>
      <c r="E105" s="31"/>
      <c r="F105" s="31"/>
    </row>
    <row r="106" spans="3:6" ht="12.75">
      <c r="C106" s="31"/>
      <c r="D106" s="31"/>
      <c r="E106" s="31"/>
      <c r="F106" s="31"/>
    </row>
    <row r="107" spans="3:6" ht="12.75">
      <c r="C107" s="31"/>
      <c r="D107" s="31"/>
      <c r="E107" s="31"/>
      <c r="F107" s="31"/>
    </row>
    <row r="108" spans="3:6" ht="12.75">
      <c r="C108" s="31"/>
      <c r="D108" s="31"/>
      <c r="E108" s="31"/>
      <c r="F108" s="31"/>
    </row>
    <row r="109" spans="3:6" ht="12.75">
      <c r="C109" s="31"/>
      <c r="D109" s="31"/>
      <c r="E109" s="31"/>
      <c r="F109" s="31"/>
    </row>
    <row r="110" spans="3:6" ht="12.75">
      <c r="C110" s="31"/>
      <c r="D110" s="31"/>
      <c r="E110" s="31"/>
      <c r="F110" s="31"/>
    </row>
    <row r="111" spans="3:6" ht="12.75">
      <c r="C111" s="31"/>
      <c r="D111" s="31"/>
      <c r="E111" s="31"/>
      <c r="F111" s="31"/>
    </row>
    <row r="112" spans="3:6" ht="12.75">
      <c r="C112" s="31"/>
      <c r="D112" s="31"/>
      <c r="E112" s="31"/>
      <c r="F112" s="31"/>
    </row>
    <row r="113" spans="3:6" ht="12.75">
      <c r="C113" s="31"/>
      <c r="D113" s="31"/>
      <c r="E113" s="31"/>
      <c r="F113" s="31"/>
    </row>
    <row r="114" spans="3:6" ht="12.75">
      <c r="C114" s="31"/>
      <c r="D114" s="31"/>
      <c r="E114" s="31"/>
      <c r="F114" s="31"/>
    </row>
    <row r="115" spans="3:6" ht="12.75">
      <c r="C115" s="31"/>
      <c r="D115" s="31"/>
      <c r="E115" s="31"/>
      <c r="F115" s="31"/>
    </row>
    <row r="116" spans="3:6" ht="12.75">
      <c r="C116" s="31"/>
      <c r="D116" s="31"/>
      <c r="E116" s="31"/>
      <c r="F116" s="31"/>
    </row>
    <row r="117" spans="3:6" ht="12.75">
      <c r="C117" s="31"/>
      <c r="D117" s="31"/>
      <c r="E117" s="31"/>
      <c r="F117" s="31"/>
    </row>
    <row r="118" spans="3:6" ht="12.75">
      <c r="C118" s="31"/>
      <c r="D118" s="31"/>
      <c r="E118" s="31"/>
      <c r="F118" s="31"/>
    </row>
    <row r="119" spans="3:6" ht="12.75">
      <c r="C119" s="31"/>
      <c r="D119" s="31"/>
      <c r="E119" s="31"/>
      <c r="F119" s="31"/>
    </row>
    <row r="120" spans="3:6" ht="12.75">
      <c r="C120" s="31"/>
      <c r="D120" s="31"/>
      <c r="E120" s="31"/>
      <c r="F120" s="31"/>
    </row>
    <row r="121" spans="3:6" ht="12.75">
      <c r="C121" s="31"/>
      <c r="D121" s="31"/>
      <c r="E121" s="31"/>
      <c r="F121" s="31"/>
    </row>
    <row r="122" spans="3:6" ht="12.75">
      <c r="C122" s="31"/>
      <c r="D122" s="31"/>
      <c r="E122" s="31"/>
      <c r="F122" s="31"/>
    </row>
    <row r="123" spans="3:6" ht="12.75">
      <c r="C123" s="31"/>
      <c r="D123" s="31"/>
      <c r="E123" s="31"/>
      <c r="F123" s="31"/>
    </row>
  </sheetData>
  <printOptions gridLines="1"/>
  <pageMargins left="1.6" right="0.75" top="1.45" bottom="1.4"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S51"/>
  <sheetViews>
    <sheetView workbookViewId="0" topLeftCell="C14">
      <selection activeCell="P24" sqref="P24"/>
    </sheetView>
  </sheetViews>
  <sheetFormatPr defaultColWidth="9.140625" defaultRowHeight="12.75"/>
  <cols>
    <col min="1" max="1" width="20.00390625" style="10" customWidth="1"/>
    <col min="2" max="3" width="6.57421875" style="10" customWidth="1"/>
    <col min="4" max="4" width="9.57421875" style="10" customWidth="1"/>
    <col min="5" max="5" width="9.00390625" style="10" customWidth="1"/>
    <col min="6" max="6" width="9.140625" style="10" customWidth="1"/>
    <col min="7" max="13" width="6.57421875" style="10" customWidth="1"/>
    <col min="14" max="14" width="7.421875" style="10" customWidth="1"/>
    <col min="15" max="16384" width="9.140625" style="10" customWidth="1"/>
  </cols>
  <sheetData>
    <row r="1" spans="1:14" ht="15.75">
      <c r="A1" s="418" t="str">
        <f>'B Balance sheet'!A1</f>
        <v>Speedy B's LLC - NEW</v>
      </c>
      <c r="B1" s="418"/>
      <c r="C1" s="418"/>
      <c r="D1" s="418"/>
      <c r="E1" s="418"/>
      <c r="F1" s="418"/>
      <c r="G1" s="418"/>
      <c r="H1" s="418"/>
      <c r="I1" s="418"/>
      <c r="J1" s="418"/>
      <c r="K1" s="418"/>
      <c r="L1" s="418"/>
      <c r="M1" s="418"/>
      <c r="N1" s="418"/>
    </row>
    <row r="2" spans="1:14" ht="15.75">
      <c r="A2" s="418" t="s">
        <v>61</v>
      </c>
      <c r="B2" s="418"/>
      <c r="C2" s="418"/>
      <c r="D2" s="418"/>
      <c r="E2" s="418"/>
      <c r="F2" s="418"/>
      <c r="G2" s="418"/>
      <c r="H2" s="418"/>
      <c r="I2" s="418"/>
      <c r="J2" s="418"/>
      <c r="K2" s="418"/>
      <c r="L2" s="418"/>
      <c r="M2" s="418"/>
      <c r="N2" s="418"/>
    </row>
    <row r="3" spans="1:14" ht="15.75">
      <c r="A3" s="418" t="s">
        <v>145</v>
      </c>
      <c r="B3" s="418"/>
      <c r="C3" s="418"/>
      <c r="D3" s="418"/>
      <c r="E3" s="418"/>
      <c r="F3" s="418"/>
      <c r="G3" s="418"/>
      <c r="H3" s="418"/>
      <c r="I3" s="418"/>
      <c r="J3" s="418"/>
      <c r="K3" s="418"/>
      <c r="L3" s="418"/>
      <c r="M3" s="418"/>
      <c r="N3" s="418"/>
    </row>
    <row r="4" spans="1:14" ht="15.75">
      <c r="A4" s="419">
        <f>EOMONTH(+'B Balance sheet'!A4:I4,11)</f>
        <v>39325</v>
      </c>
      <c r="B4" s="419"/>
      <c r="C4" s="419"/>
      <c r="D4" s="419"/>
      <c r="E4" s="419"/>
      <c r="F4" s="419"/>
      <c r="G4" s="419"/>
      <c r="H4" s="419"/>
      <c r="I4" s="419"/>
      <c r="J4" s="419"/>
      <c r="K4" s="419"/>
      <c r="L4" s="419"/>
      <c r="M4" s="419"/>
      <c r="N4" s="419"/>
    </row>
    <row r="5" spans="1:14" s="51" customFormat="1" ht="12.75">
      <c r="A5" s="227"/>
      <c r="B5" s="238">
        <f>EOMONTH(+A4,-11)</f>
        <v>38990</v>
      </c>
      <c r="C5" s="239">
        <f>EOMONTH(+B5,1)</f>
        <v>39021</v>
      </c>
      <c r="D5" s="239">
        <f>EOMONTH(+C5,1)</f>
        <v>39051</v>
      </c>
      <c r="E5" s="239">
        <f>EOMONTH(+D5,1)</f>
        <v>39082</v>
      </c>
      <c r="F5" s="239">
        <f>EOMONTH(+E5,1)</f>
        <v>39113</v>
      </c>
      <c r="G5" s="239">
        <f>EOMONTH(+F5,1)</f>
        <v>39141</v>
      </c>
      <c r="H5" s="239">
        <f>EOMONTH(+G5,1)</f>
        <v>39172</v>
      </c>
      <c r="I5" s="239">
        <f>EOMONTH(+H5,1)</f>
        <v>39202</v>
      </c>
      <c r="J5" s="239">
        <f>EOMONTH(+I5,1)</f>
        <v>39233</v>
      </c>
      <c r="K5" s="239">
        <f>EOMONTH(+J5,1)</f>
        <v>39263</v>
      </c>
      <c r="L5" s="239">
        <f>EOMONTH(+K5,1)</f>
        <v>39294</v>
      </c>
      <c r="M5" s="239">
        <f>EOMONTH(+L5,1)</f>
        <v>39325</v>
      </c>
      <c r="N5" s="240" t="s">
        <v>25</v>
      </c>
    </row>
    <row r="6" spans="1:14" ht="12.75">
      <c r="A6" s="224" t="s">
        <v>26</v>
      </c>
      <c r="B6" s="241">
        <v>17917</v>
      </c>
      <c r="C6" s="242">
        <f>+B6</f>
        <v>17917</v>
      </c>
      <c r="D6" s="242">
        <f aca="true" t="shared" si="0" ref="D6:M6">+C6</f>
        <v>17917</v>
      </c>
      <c r="E6" s="242">
        <f t="shared" si="0"/>
        <v>17917</v>
      </c>
      <c r="F6" s="242">
        <f t="shared" si="0"/>
        <v>17917</v>
      </c>
      <c r="G6" s="242">
        <f t="shared" si="0"/>
        <v>17917</v>
      </c>
      <c r="H6" s="242">
        <f t="shared" si="0"/>
        <v>17917</v>
      </c>
      <c r="I6" s="242">
        <f t="shared" si="0"/>
        <v>17917</v>
      </c>
      <c r="J6" s="242">
        <f t="shared" si="0"/>
        <v>17917</v>
      </c>
      <c r="K6" s="242">
        <f t="shared" si="0"/>
        <v>17917</v>
      </c>
      <c r="L6" s="242">
        <f t="shared" si="0"/>
        <v>17917</v>
      </c>
      <c r="M6" s="242">
        <f t="shared" si="0"/>
        <v>17917</v>
      </c>
      <c r="N6" s="243">
        <f>SUM(B6:M6)</f>
        <v>215004</v>
      </c>
    </row>
    <row r="7" spans="1:14" ht="12.75">
      <c r="A7" s="224" t="s">
        <v>154</v>
      </c>
      <c r="B7" s="244">
        <f aca="true" t="shared" si="1" ref="B7:M7">ROUND(B6*$D$42,0)</f>
        <v>0</v>
      </c>
      <c r="C7" s="245">
        <f t="shared" si="1"/>
        <v>0</v>
      </c>
      <c r="D7" s="245">
        <f t="shared" si="1"/>
        <v>0</v>
      </c>
      <c r="E7" s="245">
        <f t="shared" si="1"/>
        <v>0</v>
      </c>
      <c r="F7" s="245">
        <f t="shared" si="1"/>
        <v>0</v>
      </c>
      <c r="G7" s="245">
        <f t="shared" si="1"/>
        <v>0</v>
      </c>
      <c r="H7" s="245">
        <f t="shared" si="1"/>
        <v>0</v>
      </c>
      <c r="I7" s="245">
        <f t="shared" si="1"/>
        <v>0</v>
      </c>
      <c r="J7" s="245">
        <f t="shared" si="1"/>
        <v>0</v>
      </c>
      <c r="K7" s="245">
        <f t="shared" si="1"/>
        <v>0</v>
      </c>
      <c r="L7" s="245">
        <f t="shared" si="1"/>
        <v>0</v>
      </c>
      <c r="M7" s="245">
        <f t="shared" si="1"/>
        <v>0</v>
      </c>
      <c r="N7" s="243">
        <f>SUM(B7:M7)</f>
        <v>0</v>
      </c>
    </row>
    <row r="8" spans="1:14" ht="12.75">
      <c r="A8" s="224" t="s">
        <v>28</v>
      </c>
      <c r="B8" s="244">
        <f aca="true" t="shared" si="2" ref="B8:M8">B6-B7</f>
        <v>17917</v>
      </c>
      <c r="C8" s="245">
        <f t="shared" si="2"/>
        <v>17917</v>
      </c>
      <c r="D8" s="245">
        <f t="shared" si="2"/>
        <v>17917</v>
      </c>
      <c r="E8" s="245">
        <f t="shared" si="2"/>
        <v>17917</v>
      </c>
      <c r="F8" s="245">
        <f t="shared" si="2"/>
        <v>17917</v>
      </c>
      <c r="G8" s="245">
        <f t="shared" si="2"/>
        <v>17917</v>
      </c>
      <c r="H8" s="245">
        <f t="shared" si="2"/>
        <v>17917</v>
      </c>
      <c r="I8" s="245">
        <f t="shared" si="2"/>
        <v>17917</v>
      </c>
      <c r="J8" s="245">
        <f t="shared" si="2"/>
        <v>17917</v>
      </c>
      <c r="K8" s="245">
        <f t="shared" si="2"/>
        <v>17917</v>
      </c>
      <c r="L8" s="245">
        <f t="shared" si="2"/>
        <v>17917</v>
      </c>
      <c r="M8" s="245">
        <f t="shared" si="2"/>
        <v>17917</v>
      </c>
      <c r="N8" s="243">
        <f>SUM(B8:M8)</f>
        <v>215004</v>
      </c>
    </row>
    <row r="9" spans="1:14" ht="12.75">
      <c r="A9" s="224" t="s">
        <v>29</v>
      </c>
      <c r="B9" s="244">
        <f aca="true" t="shared" si="3" ref="B9:M9">INT(B6*$D$34)</f>
        <v>6270</v>
      </c>
      <c r="C9" s="245">
        <f t="shared" si="3"/>
        <v>6270</v>
      </c>
      <c r="D9" s="245">
        <f t="shared" si="3"/>
        <v>6270</v>
      </c>
      <c r="E9" s="245">
        <f t="shared" si="3"/>
        <v>6270</v>
      </c>
      <c r="F9" s="245">
        <f t="shared" si="3"/>
        <v>6270</v>
      </c>
      <c r="G9" s="245">
        <f t="shared" si="3"/>
        <v>6270</v>
      </c>
      <c r="H9" s="245">
        <f t="shared" si="3"/>
        <v>6270</v>
      </c>
      <c r="I9" s="245">
        <f t="shared" si="3"/>
        <v>6270</v>
      </c>
      <c r="J9" s="245">
        <f t="shared" si="3"/>
        <v>6270</v>
      </c>
      <c r="K9" s="245">
        <f t="shared" si="3"/>
        <v>6270</v>
      </c>
      <c r="L9" s="245">
        <f t="shared" si="3"/>
        <v>6270</v>
      </c>
      <c r="M9" s="245">
        <f t="shared" si="3"/>
        <v>6270</v>
      </c>
      <c r="N9" s="243">
        <f>SUM(B9:M9)</f>
        <v>75240</v>
      </c>
    </row>
    <row r="10" spans="1:14" ht="12.75">
      <c r="A10" s="226" t="s">
        <v>30</v>
      </c>
      <c r="B10" s="332">
        <f aca="true" t="shared" si="4" ref="B10:M10">B8-B9</f>
        <v>11647</v>
      </c>
      <c r="C10" s="333">
        <f t="shared" si="4"/>
        <v>11647</v>
      </c>
      <c r="D10" s="333">
        <f t="shared" si="4"/>
        <v>11647</v>
      </c>
      <c r="E10" s="333">
        <f t="shared" si="4"/>
        <v>11647</v>
      </c>
      <c r="F10" s="333">
        <f t="shared" si="4"/>
        <v>11647</v>
      </c>
      <c r="G10" s="333">
        <f t="shared" si="4"/>
        <v>11647</v>
      </c>
      <c r="H10" s="333">
        <f t="shared" si="4"/>
        <v>11647</v>
      </c>
      <c r="I10" s="333">
        <f t="shared" si="4"/>
        <v>11647</v>
      </c>
      <c r="J10" s="333">
        <f t="shared" si="4"/>
        <v>11647</v>
      </c>
      <c r="K10" s="333">
        <f t="shared" si="4"/>
        <v>11647</v>
      </c>
      <c r="L10" s="333">
        <f t="shared" si="4"/>
        <v>11647</v>
      </c>
      <c r="M10" s="333">
        <f t="shared" si="4"/>
        <v>11647</v>
      </c>
      <c r="N10" s="329">
        <f>SUM(B10:M10)</f>
        <v>139764</v>
      </c>
    </row>
    <row r="11" spans="1:14" ht="12.75">
      <c r="A11" s="224"/>
      <c r="B11" s="244"/>
      <c r="C11" s="245"/>
      <c r="D11" s="245"/>
      <c r="E11" s="245"/>
      <c r="F11" s="245"/>
      <c r="G11" s="245"/>
      <c r="H11" s="245"/>
      <c r="I11" s="245"/>
      <c r="J11" s="245"/>
      <c r="K11" s="245"/>
      <c r="L11" s="245"/>
      <c r="M11" s="245"/>
      <c r="N11" s="243"/>
    </row>
    <row r="12" spans="1:14" ht="12.75">
      <c r="A12" s="224" t="s">
        <v>31</v>
      </c>
      <c r="B12" s="244"/>
      <c r="C12" s="245"/>
      <c r="D12" s="245"/>
      <c r="E12" s="245"/>
      <c r="F12" s="245"/>
      <c r="G12" s="245"/>
      <c r="H12" s="245"/>
      <c r="I12" s="245"/>
      <c r="J12" s="245"/>
      <c r="K12" s="245"/>
      <c r="L12" s="245"/>
      <c r="M12" s="245"/>
      <c r="N12" s="243"/>
    </row>
    <row r="13" spans="1:14" ht="12.75">
      <c r="A13" s="224" t="s">
        <v>70</v>
      </c>
      <c r="B13" s="241">
        <v>4466</v>
      </c>
      <c r="C13" s="242">
        <f>+B13</f>
        <v>4466</v>
      </c>
      <c r="D13" s="242">
        <f aca="true" t="shared" si="5" ref="D13:M13">+C13</f>
        <v>4466</v>
      </c>
      <c r="E13" s="242">
        <f t="shared" si="5"/>
        <v>4466</v>
      </c>
      <c r="F13" s="242">
        <f t="shared" si="5"/>
        <v>4466</v>
      </c>
      <c r="G13" s="242">
        <f t="shared" si="5"/>
        <v>4466</v>
      </c>
      <c r="H13" s="242">
        <f t="shared" si="5"/>
        <v>4466</v>
      </c>
      <c r="I13" s="242">
        <f t="shared" si="5"/>
        <v>4466</v>
      </c>
      <c r="J13" s="242">
        <f t="shared" si="5"/>
        <v>4466</v>
      </c>
      <c r="K13" s="242">
        <f t="shared" si="5"/>
        <v>4466</v>
      </c>
      <c r="L13" s="242">
        <f t="shared" si="5"/>
        <v>4466</v>
      </c>
      <c r="M13" s="242">
        <f t="shared" si="5"/>
        <v>4466</v>
      </c>
      <c r="N13" s="243">
        <f aca="true" t="shared" si="6" ref="N13:N26">SUM(B13:M13)</f>
        <v>53592</v>
      </c>
    </row>
    <row r="14" spans="1:14" ht="12.75">
      <c r="A14" s="224" t="s">
        <v>96</v>
      </c>
      <c r="B14" s="241">
        <v>650</v>
      </c>
      <c r="C14" s="242">
        <f>+B14</f>
        <v>650</v>
      </c>
      <c r="D14" s="242">
        <f aca="true" t="shared" si="7" ref="D14:M14">+C14</f>
        <v>650</v>
      </c>
      <c r="E14" s="242">
        <f t="shared" si="7"/>
        <v>650</v>
      </c>
      <c r="F14" s="242">
        <f t="shared" si="7"/>
        <v>650</v>
      </c>
      <c r="G14" s="242">
        <f t="shared" si="7"/>
        <v>650</v>
      </c>
      <c r="H14" s="242">
        <f t="shared" si="7"/>
        <v>650</v>
      </c>
      <c r="I14" s="242">
        <f t="shared" si="7"/>
        <v>650</v>
      </c>
      <c r="J14" s="242">
        <f t="shared" si="7"/>
        <v>650</v>
      </c>
      <c r="K14" s="242">
        <f t="shared" si="7"/>
        <v>650</v>
      </c>
      <c r="L14" s="242">
        <f t="shared" si="7"/>
        <v>650</v>
      </c>
      <c r="M14" s="242">
        <f t="shared" si="7"/>
        <v>650</v>
      </c>
      <c r="N14" s="243">
        <f t="shared" si="6"/>
        <v>7800</v>
      </c>
    </row>
    <row r="15" spans="1:14" ht="12.75">
      <c r="A15" s="224" t="s">
        <v>32</v>
      </c>
      <c r="B15" s="244">
        <f aca="true" t="shared" si="8" ref="B15:M15">ROUND((B13*$D$41),0)</f>
        <v>520</v>
      </c>
      <c r="C15" s="245">
        <f t="shared" si="8"/>
        <v>520</v>
      </c>
      <c r="D15" s="245">
        <f t="shared" si="8"/>
        <v>520</v>
      </c>
      <c r="E15" s="245">
        <f t="shared" si="8"/>
        <v>520</v>
      </c>
      <c r="F15" s="245">
        <f t="shared" si="8"/>
        <v>520</v>
      </c>
      <c r="G15" s="245">
        <f t="shared" si="8"/>
        <v>520</v>
      </c>
      <c r="H15" s="245">
        <f t="shared" si="8"/>
        <v>520</v>
      </c>
      <c r="I15" s="245">
        <f t="shared" si="8"/>
        <v>520</v>
      </c>
      <c r="J15" s="245">
        <f t="shared" si="8"/>
        <v>520</v>
      </c>
      <c r="K15" s="245">
        <f t="shared" si="8"/>
        <v>520</v>
      </c>
      <c r="L15" s="245">
        <f t="shared" si="8"/>
        <v>520</v>
      </c>
      <c r="M15" s="245">
        <f t="shared" si="8"/>
        <v>520</v>
      </c>
      <c r="N15" s="243">
        <f t="shared" si="6"/>
        <v>6240</v>
      </c>
    </row>
    <row r="16" spans="1:18" ht="12.75">
      <c r="A16" s="224" t="s">
        <v>150</v>
      </c>
      <c r="B16" s="241">
        <v>132</v>
      </c>
      <c r="C16" s="242">
        <f>+B16</f>
        <v>132</v>
      </c>
      <c r="D16" s="242">
        <f aca="true" t="shared" si="9" ref="D16:M16">+C16</f>
        <v>132</v>
      </c>
      <c r="E16" s="242">
        <f t="shared" si="9"/>
        <v>132</v>
      </c>
      <c r="F16" s="242">
        <f t="shared" si="9"/>
        <v>132</v>
      </c>
      <c r="G16" s="242">
        <f t="shared" si="9"/>
        <v>132</v>
      </c>
      <c r="H16" s="242">
        <f t="shared" si="9"/>
        <v>132</v>
      </c>
      <c r="I16" s="242">
        <f t="shared" si="9"/>
        <v>132</v>
      </c>
      <c r="J16" s="242">
        <f t="shared" si="9"/>
        <v>132</v>
      </c>
      <c r="K16" s="242">
        <f t="shared" si="9"/>
        <v>132</v>
      </c>
      <c r="L16" s="242">
        <f t="shared" si="9"/>
        <v>132</v>
      </c>
      <c r="M16" s="242">
        <f t="shared" si="9"/>
        <v>132</v>
      </c>
      <c r="N16" s="243">
        <f t="shared" si="6"/>
        <v>1584</v>
      </c>
      <c r="P16" s="55"/>
      <c r="Q16" s="55"/>
      <c r="R16" s="55"/>
    </row>
    <row r="17" spans="1:18" ht="12.75">
      <c r="A17" s="224" t="s">
        <v>155</v>
      </c>
      <c r="B17" s="241">
        <v>25</v>
      </c>
      <c r="C17" s="242">
        <f>+B17</f>
        <v>25</v>
      </c>
      <c r="D17" s="242">
        <f aca="true" t="shared" si="10" ref="D17:M17">+C17</f>
        <v>25</v>
      </c>
      <c r="E17" s="242">
        <f t="shared" si="10"/>
        <v>25</v>
      </c>
      <c r="F17" s="242">
        <f t="shared" si="10"/>
        <v>25</v>
      </c>
      <c r="G17" s="242">
        <f t="shared" si="10"/>
        <v>25</v>
      </c>
      <c r="H17" s="242">
        <f t="shared" si="10"/>
        <v>25</v>
      </c>
      <c r="I17" s="242">
        <f t="shared" si="10"/>
        <v>25</v>
      </c>
      <c r="J17" s="242">
        <f t="shared" si="10"/>
        <v>25</v>
      </c>
      <c r="K17" s="242">
        <f t="shared" si="10"/>
        <v>25</v>
      </c>
      <c r="L17" s="242">
        <f t="shared" si="10"/>
        <v>25</v>
      </c>
      <c r="M17" s="242">
        <f t="shared" si="10"/>
        <v>25</v>
      </c>
      <c r="N17" s="243">
        <f t="shared" si="6"/>
        <v>300</v>
      </c>
      <c r="R17" s="55"/>
    </row>
    <row r="18" spans="1:14" ht="12.75">
      <c r="A18" s="224" t="s">
        <v>156</v>
      </c>
      <c r="B18" s="244">
        <f>+((+'B Balance sheet'!$C$18+'B Balance sheet'!$C$19+'B Balance sheet'!$C$20)/'B Balance sheet'!$C$29)/12</f>
        <v>925</v>
      </c>
      <c r="C18" s="245">
        <f>+((+'B Balance sheet'!$C$18+'B Balance sheet'!$C$19+'B Balance sheet'!$C$20)/'B Balance sheet'!$C$29)/12</f>
        <v>925</v>
      </c>
      <c r="D18" s="245">
        <f>+((+'B Balance sheet'!$C$18+'B Balance sheet'!$C$19+'B Balance sheet'!$C$20)/'B Balance sheet'!$C$29)/12</f>
        <v>925</v>
      </c>
      <c r="E18" s="245">
        <f>+((+'B Balance sheet'!$C$18+'B Balance sheet'!$C$19+'B Balance sheet'!$C$20)/'B Balance sheet'!$C$29)/12</f>
        <v>925</v>
      </c>
      <c r="F18" s="245">
        <f>+((+'B Balance sheet'!$C$18+'B Balance sheet'!$C$19+'B Balance sheet'!$C$20)/'B Balance sheet'!$C$29)/12</f>
        <v>925</v>
      </c>
      <c r="G18" s="245">
        <f>+((+'B Balance sheet'!$C$18+'B Balance sheet'!$C$19+'B Balance sheet'!$C$20)/'B Balance sheet'!$C$29)/12</f>
        <v>925</v>
      </c>
      <c r="H18" s="245">
        <f>+((+'B Balance sheet'!$C$18+'B Balance sheet'!$C$19+'B Balance sheet'!$C$20)/'B Balance sheet'!$C$29)/12</f>
        <v>925</v>
      </c>
      <c r="I18" s="245">
        <f>+((+'B Balance sheet'!$C$18+'B Balance sheet'!$C$19+'B Balance sheet'!$C$20)/'B Balance sheet'!$C$29)/12</f>
        <v>925</v>
      </c>
      <c r="J18" s="245">
        <f>+((+'B Balance sheet'!$C$18+'B Balance sheet'!$C$19+'B Balance sheet'!$C$20)/'B Balance sheet'!$C$29)/12</f>
        <v>925</v>
      </c>
      <c r="K18" s="245">
        <f>+((+'B Balance sheet'!$C$18+'B Balance sheet'!$C$19+'B Balance sheet'!$C$20)/'B Balance sheet'!$C$29)/12</f>
        <v>925</v>
      </c>
      <c r="L18" s="245">
        <f>+((+'B Balance sheet'!$C$18+'B Balance sheet'!$C$19+'B Balance sheet'!$C$20)/'B Balance sheet'!$C$29)/12</f>
        <v>925</v>
      </c>
      <c r="M18" s="245">
        <f>+((+'B Balance sheet'!$C$18+'B Balance sheet'!$C$19+'B Balance sheet'!$C$20)/'B Balance sheet'!$C$29)/12</f>
        <v>925</v>
      </c>
      <c r="N18" s="243">
        <f t="shared" si="6"/>
        <v>11100</v>
      </c>
    </row>
    <row r="19" spans="1:15" ht="12.75">
      <c r="A19" s="224" t="s">
        <v>157</v>
      </c>
      <c r="B19" s="241">
        <v>358</v>
      </c>
      <c r="C19" s="242">
        <f>+B19</f>
        <v>358</v>
      </c>
      <c r="D19" s="242">
        <f aca="true" t="shared" si="11" ref="D19:M19">+C19</f>
        <v>358</v>
      </c>
      <c r="E19" s="242">
        <f t="shared" si="11"/>
        <v>358</v>
      </c>
      <c r="F19" s="242">
        <f t="shared" si="11"/>
        <v>358</v>
      </c>
      <c r="G19" s="242">
        <f t="shared" si="11"/>
        <v>358</v>
      </c>
      <c r="H19" s="242">
        <f t="shared" si="11"/>
        <v>358</v>
      </c>
      <c r="I19" s="242">
        <f t="shared" si="11"/>
        <v>358</v>
      </c>
      <c r="J19" s="242">
        <f t="shared" si="11"/>
        <v>358</v>
      </c>
      <c r="K19" s="242">
        <f t="shared" si="11"/>
        <v>358</v>
      </c>
      <c r="L19" s="242">
        <f t="shared" si="11"/>
        <v>358</v>
      </c>
      <c r="M19" s="242">
        <f t="shared" si="11"/>
        <v>358</v>
      </c>
      <c r="N19" s="243">
        <f t="shared" si="6"/>
        <v>4296</v>
      </c>
      <c r="O19" s="315"/>
    </row>
    <row r="20" spans="1:14" ht="12.75">
      <c r="A20" s="224" t="s">
        <v>84</v>
      </c>
      <c r="B20" s="244">
        <f>+'Pmt Schedule'!D10</f>
        <v>480</v>
      </c>
      <c r="C20" s="245">
        <f>+'Pmt Schedule'!D11</f>
        <v>476</v>
      </c>
      <c r="D20" s="245">
        <f>+'Pmt Schedule'!D12</f>
        <v>472</v>
      </c>
      <c r="E20" s="245">
        <f>+'Pmt Schedule'!D13</f>
        <v>468</v>
      </c>
      <c r="F20" s="245">
        <f>+'Pmt Schedule'!D14</f>
        <v>463</v>
      </c>
      <c r="G20" s="245">
        <f>+'Pmt Schedule'!D15</f>
        <v>459</v>
      </c>
      <c r="H20" s="245">
        <f>+'Pmt Schedule'!D16</f>
        <v>454</v>
      </c>
      <c r="I20" s="245">
        <f>+'Pmt Schedule'!D17</f>
        <v>450</v>
      </c>
      <c r="J20" s="245">
        <f>+'Pmt Schedule'!D18</f>
        <v>445</v>
      </c>
      <c r="K20" s="245">
        <f>+'Pmt Schedule'!D19</f>
        <v>441</v>
      </c>
      <c r="L20" s="245">
        <f>+'Pmt Schedule'!D20</f>
        <v>436</v>
      </c>
      <c r="M20" s="245">
        <f>+'Pmt Schedule'!D21</f>
        <v>432</v>
      </c>
      <c r="N20" s="243">
        <f t="shared" si="6"/>
        <v>5476</v>
      </c>
    </row>
    <row r="21" spans="1:19" ht="12.75">
      <c r="A21" s="224" t="s">
        <v>158</v>
      </c>
      <c r="B21" s="241">
        <v>100</v>
      </c>
      <c r="C21" s="242">
        <f>+B21</f>
        <v>100</v>
      </c>
      <c r="D21" s="242">
        <f aca="true" t="shared" si="12" ref="D21:M21">+C21</f>
        <v>100</v>
      </c>
      <c r="E21" s="242">
        <f t="shared" si="12"/>
        <v>100</v>
      </c>
      <c r="F21" s="242">
        <f t="shared" si="12"/>
        <v>100</v>
      </c>
      <c r="G21" s="242">
        <f t="shared" si="12"/>
        <v>100</v>
      </c>
      <c r="H21" s="242">
        <f t="shared" si="12"/>
        <v>100</v>
      </c>
      <c r="I21" s="242">
        <f t="shared" si="12"/>
        <v>100</v>
      </c>
      <c r="J21" s="242">
        <f t="shared" si="12"/>
        <v>100</v>
      </c>
      <c r="K21" s="242">
        <f t="shared" si="12"/>
        <v>100</v>
      </c>
      <c r="L21" s="242">
        <f t="shared" si="12"/>
        <v>100</v>
      </c>
      <c r="M21" s="242">
        <f t="shared" si="12"/>
        <v>100</v>
      </c>
      <c r="N21" s="243">
        <f t="shared" si="6"/>
        <v>1200</v>
      </c>
      <c r="P21" s="126"/>
      <c r="Q21" s="126"/>
      <c r="R21" s="126"/>
      <c r="S21" s="126"/>
    </row>
    <row r="22" spans="1:14" ht="12.75">
      <c r="A22" s="224" t="s">
        <v>159</v>
      </c>
      <c r="B22" s="241">
        <v>800</v>
      </c>
      <c r="C22" s="242">
        <f>+B22</f>
        <v>800</v>
      </c>
      <c r="D22" s="242">
        <f aca="true" t="shared" si="13" ref="D22:M22">+C22</f>
        <v>800</v>
      </c>
      <c r="E22" s="242">
        <f t="shared" si="13"/>
        <v>800</v>
      </c>
      <c r="F22" s="242">
        <f t="shared" si="13"/>
        <v>800</v>
      </c>
      <c r="G22" s="242">
        <f t="shared" si="13"/>
        <v>800</v>
      </c>
      <c r="H22" s="242">
        <f t="shared" si="13"/>
        <v>800</v>
      </c>
      <c r="I22" s="242">
        <f t="shared" si="13"/>
        <v>800</v>
      </c>
      <c r="J22" s="242">
        <f t="shared" si="13"/>
        <v>800</v>
      </c>
      <c r="K22" s="242">
        <f t="shared" si="13"/>
        <v>800</v>
      </c>
      <c r="L22" s="242">
        <f t="shared" si="13"/>
        <v>800</v>
      </c>
      <c r="M22" s="242">
        <f t="shared" si="13"/>
        <v>800</v>
      </c>
      <c r="N22" s="243">
        <f t="shared" si="6"/>
        <v>9600</v>
      </c>
    </row>
    <row r="23" spans="1:14" ht="12.75">
      <c r="A23" s="224" t="s">
        <v>10</v>
      </c>
      <c r="B23" s="241">
        <v>150</v>
      </c>
      <c r="C23" s="242">
        <f>+B23</f>
        <v>150</v>
      </c>
      <c r="D23" s="242">
        <f aca="true" t="shared" si="14" ref="D23:M23">+C23</f>
        <v>150</v>
      </c>
      <c r="E23" s="242">
        <f t="shared" si="14"/>
        <v>150</v>
      </c>
      <c r="F23" s="242">
        <f t="shared" si="14"/>
        <v>150</v>
      </c>
      <c r="G23" s="242">
        <f t="shared" si="14"/>
        <v>150</v>
      </c>
      <c r="H23" s="242">
        <f t="shared" si="14"/>
        <v>150</v>
      </c>
      <c r="I23" s="242">
        <f t="shared" si="14"/>
        <v>150</v>
      </c>
      <c r="J23" s="242">
        <f t="shared" si="14"/>
        <v>150</v>
      </c>
      <c r="K23" s="242">
        <f t="shared" si="14"/>
        <v>150</v>
      </c>
      <c r="L23" s="242">
        <f t="shared" si="14"/>
        <v>150</v>
      </c>
      <c r="M23" s="242">
        <f t="shared" si="14"/>
        <v>150</v>
      </c>
      <c r="N23" s="243">
        <f t="shared" si="6"/>
        <v>1800</v>
      </c>
    </row>
    <row r="24" spans="1:14" ht="12.75">
      <c r="A24" s="224" t="s">
        <v>198</v>
      </c>
      <c r="B24" s="241">
        <v>0</v>
      </c>
      <c r="C24" s="242">
        <f>+B24</f>
        <v>0</v>
      </c>
      <c r="D24" s="242">
        <f aca="true" t="shared" si="15" ref="D24:M24">+C24</f>
        <v>0</v>
      </c>
      <c r="E24" s="242">
        <f t="shared" si="15"/>
        <v>0</v>
      </c>
      <c r="F24" s="242">
        <f t="shared" si="15"/>
        <v>0</v>
      </c>
      <c r="G24" s="242">
        <f t="shared" si="15"/>
        <v>0</v>
      </c>
      <c r="H24" s="242">
        <f t="shared" si="15"/>
        <v>0</v>
      </c>
      <c r="I24" s="242">
        <f t="shared" si="15"/>
        <v>0</v>
      </c>
      <c r="J24" s="242">
        <f t="shared" si="15"/>
        <v>0</v>
      </c>
      <c r="K24" s="242">
        <f t="shared" si="15"/>
        <v>0</v>
      </c>
      <c r="L24" s="242">
        <f t="shared" si="15"/>
        <v>0</v>
      </c>
      <c r="M24" s="242">
        <f t="shared" si="15"/>
        <v>0</v>
      </c>
      <c r="N24" s="243">
        <f t="shared" si="6"/>
        <v>0</v>
      </c>
    </row>
    <row r="25" spans="1:14" ht="12.75">
      <c r="A25" s="224" t="s">
        <v>160</v>
      </c>
      <c r="B25" s="244">
        <f aca="true" t="shared" si="16" ref="B25:L25">ROUND((C6*$D$35),0)</f>
        <v>90</v>
      </c>
      <c r="C25" s="245">
        <f t="shared" si="16"/>
        <v>90</v>
      </c>
      <c r="D25" s="245">
        <f t="shared" si="16"/>
        <v>90</v>
      </c>
      <c r="E25" s="245">
        <f t="shared" si="16"/>
        <v>90</v>
      </c>
      <c r="F25" s="245">
        <f t="shared" si="16"/>
        <v>90</v>
      </c>
      <c r="G25" s="245">
        <f t="shared" si="16"/>
        <v>90</v>
      </c>
      <c r="H25" s="245">
        <f t="shared" si="16"/>
        <v>90</v>
      </c>
      <c r="I25" s="245">
        <f t="shared" si="16"/>
        <v>90</v>
      </c>
      <c r="J25" s="245">
        <f t="shared" si="16"/>
        <v>90</v>
      </c>
      <c r="K25" s="245">
        <f t="shared" si="16"/>
        <v>90</v>
      </c>
      <c r="L25" s="245">
        <f t="shared" si="16"/>
        <v>90</v>
      </c>
      <c r="M25" s="245">
        <f>ROUND(('2nd Year IS'!B7/3*$D$35),0)</f>
        <v>94</v>
      </c>
      <c r="N25" s="243">
        <f t="shared" si="6"/>
        <v>1084</v>
      </c>
    </row>
    <row r="26" spans="1:14" ht="12.75">
      <c r="A26" s="228" t="s">
        <v>118</v>
      </c>
      <c r="B26" s="241">
        <v>250</v>
      </c>
      <c r="C26" s="242">
        <f>+B26</f>
        <v>250</v>
      </c>
      <c r="D26" s="242">
        <f aca="true" t="shared" si="17" ref="D26:M26">+C26</f>
        <v>250</v>
      </c>
      <c r="E26" s="242">
        <f t="shared" si="17"/>
        <v>250</v>
      </c>
      <c r="F26" s="242">
        <f t="shared" si="17"/>
        <v>250</v>
      </c>
      <c r="G26" s="242">
        <f t="shared" si="17"/>
        <v>250</v>
      </c>
      <c r="H26" s="242">
        <f t="shared" si="17"/>
        <v>250</v>
      </c>
      <c r="I26" s="242">
        <f t="shared" si="17"/>
        <v>250</v>
      </c>
      <c r="J26" s="242">
        <f t="shared" si="17"/>
        <v>250</v>
      </c>
      <c r="K26" s="242">
        <f t="shared" si="17"/>
        <v>250</v>
      </c>
      <c r="L26" s="242">
        <f t="shared" si="17"/>
        <v>250</v>
      </c>
      <c r="M26" s="242">
        <f t="shared" si="17"/>
        <v>250</v>
      </c>
      <c r="N26" s="243">
        <f t="shared" si="6"/>
        <v>3000</v>
      </c>
    </row>
    <row r="27" spans="1:14" ht="12.75">
      <c r="A27" s="224"/>
      <c r="B27" s="244"/>
      <c r="C27" s="245"/>
      <c r="D27" s="245"/>
      <c r="E27" s="245"/>
      <c r="F27" s="245"/>
      <c r="G27" s="245"/>
      <c r="H27" s="245"/>
      <c r="I27" s="245"/>
      <c r="J27" s="245"/>
      <c r="K27" s="245"/>
      <c r="L27" s="245"/>
      <c r="M27" s="245"/>
      <c r="N27" s="243"/>
    </row>
    <row r="28" spans="1:15" ht="12.75">
      <c r="A28" s="226" t="s">
        <v>162</v>
      </c>
      <c r="B28" s="332">
        <f aca="true" t="shared" si="18" ref="B28:M28">SUM(B13:B27)</f>
        <v>8946</v>
      </c>
      <c r="C28" s="333">
        <f t="shared" si="18"/>
        <v>8942</v>
      </c>
      <c r="D28" s="333">
        <f t="shared" si="18"/>
        <v>8938</v>
      </c>
      <c r="E28" s="333">
        <f t="shared" si="18"/>
        <v>8934</v>
      </c>
      <c r="F28" s="333">
        <f t="shared" si="18"/>
        <v>8929</v>
      </c>
      <c r="G28" s="333">
        <f t="shared" si="18"/>
        <v>8925</v>
      </c>
      <c r="H28" s="333">
        <f t="shared" si="18"/>
        <v>8920</v>
      </c>
      <c r="I28" s="333">
        <f t="shared" si="18"/>
        <v>8916</v>
      </c>
      <c r="J28" s="333">
        <f t="shared" si="18"/>
        <v>8911</v>
      </c>
      <c r="K28" s="333">
        <f t="shared" si="18"/>
        <v>8907</v>
      </c>
      <c r="L28" s="333">
        <f t="shared" si="18"/>
        <v>8902</v>
      </c>
      <c r="M28" s="333">
        <f t="shared" si="18"/>
        <v>8902</v>
      </c>
      <c r="N28" s="329">
        <f>SUM(N12:N27)</f>
        <v>107072</v>
      </c>
      <c r="O28" s="54"/>
    </row>
    <row r="29" spans="1:14" ht="12.75">
      <c r="A29" s="229" t="s">
        <v>194</v>
      </c>
      <c r="B29" s="334">
        <f aca="true" t="shared" si="19" ref="B29:M29">B10-B28</f>
        <v>2701</v>
      </c>
      <c r="C29" s="335">
        <f t="shared" si="19"/>
        <v>2705</v>
      </c>
      <c r="D29" s="335">
        <f t="shared" si="19"/>
        <v>2709</v>
      </c>
      <c r="E29" s="335">
        <f t="shared" si="19"/>
        <v>2713</v>
      </c>
      <c r="F29" s="335">
        <f t="shared" si="19"/>
        <v>2718</v>
      </c>
      <c r="G29" s="335">
        <f t="shared" si="19"/>
        <v>2722</v>
      </c>
      <c r="H29" s="335">
        <f t="shared" si="19"/>
        <v>2727</v>
      </c>
      <c r="I29" s="335">
        <f t="shared" si="19"/>
        <v>2731</v>
      </c>
      <c r="J29" s="335">
        <f t="shared" si="19"/>
        <v>2736</v>
      </c>
      <c r="K29" s="335">
        <f t="shared" si="19"/>
        <v>2740</v>
      </c>
      <c r="L29" s="335">
        <f t="shared" si="19"/>
        <v>2745</v>
      </c>
      <c r="M29" s="335">
        <f t="shared" si="19"/>
        <v>2745</v>
      </c>
      <c r="N29" s="330">
        <f>SUM(B29:M29)</f>
        <v>32692</v>
      </c>
    </row>
    <row r="30" spans="1:14" ht="12.75">
      <c r="A30" s="229" t="s">
        <v>195</v>
      </c>
      <c r="B30" s="335">
        <f aca="true" t="shared" si="20" ref="B30:M30">+B29*$D$43</f>
        <v>540.2</v>
      </c>
      <c r="C30" s="335">
        <f t="shared" si="20"/>
        <v>541</v>
      </c>
      <c r="D30" s="335">
        <f t="shared" si="20"/>
        <v>541.8000000000001</v>
      </c>
      <c r="E30" s="335">
        <f t="shared" si="20"/>
        <v>542.6</v>
      </c>
      <c r="F30" s="335">
        <f t="shared" si="20"/>
        <v>543.6</v>
      </c>
      <c r="G30" s="335">
        <f t="shared" si="20"/>
        <v>544.4</v>
      </c>
      <c r="H30" s="335">
        <f t="shared" si="20"/>
        <v>545.4</v>
      </c>
      <c r="I30" s="335">
        <f t="shared" si="20"/>
        <v>546.2</v>
      </c>
      <c r="J30" s="335">
        <f t="shared" si="20"/>
        <v>547.2</v>
      </c>
      <c r="K30" s="335">
        <f t="shared" si="20"/>
        <v>548</v>
      </c>
      <c r="L30" s="335">
        <f t="shared" si="20"/>
        <v>549</v>
      </c>
      <c r="M30" s="335">
        <f t="shared" si="20"/>
        <v>549</v>
      </c>
      <c r="N30" s="330">
        <f>SUM(B30:M30)</f>
        <v>6538.4</v>
      </c>
    </row>
    <row r="31" spans="1:14" ht="13.5" thickBot="1">
      <c r="A31" s="230" t="s">
        <v>196</v>
      </c>
      <c r="B31" s="336">
        <f>+B29-B30</f>
        <v>2160.8</v>
      </c>
      <c r="C31" s="336">
        <f aca="true" t="shared" si="21" ref="C31:M31">+C29-C30</f>
        <v>2164</v>
      </c>
      <c r="D31" s="336">
        <f t="shared" si="21"/>
        <v>2167.2</v>
      </c>
      <c r="E31" s="336">
        <f t="shared" si="21"/>
        <v>2170.4</v>
      </c>
      <c r="F31" s="336">
        <f t="shared" si="21"/>
        <v>2174.4</v>
      </c>
      <c r="G31" s="336">
        <f t="shared" si="21"/>
        <v>2177.6</v>
      </c>
      <c r="H31" s="336">
        <f t="shared" si="21"/>
        <v>2181.6</v>
      </c>
      <c r="I31" s="336">
        <f t="shared" si="21"/>
        <v>2184.8</v>
      </c>
      <c r="J31" s="336">
        <f t="shared" si="21"/>
        <v>2188.8</v>
      </c>
      <c r="K31" s="336">
        <f t="shared" si="21"/>
        <v>2192</v>
      </c>
      <c r="L31" s="336">
        <f t="shared" si="21"/>
        <v>2196</v>
      </c>
      <c r="M31" s="336">
        <f t="shared" si="21"/>
        <v>2196</v>
      </c>
      <c r="N31" s="331">
        <f>SUM(B31:M31)</f>
        <v>26153.6</v>
      </c>
    </row>
    <row r="32" spans="2:14" s="4" customFormat="1" ht="13.5" thickTop="1">
      <c r="B32" s="13"/>
      <c r="C32" s="13"/>
      <c r="D32" s="13"/>
      <c r="E32" s="13"/>
      <c r="F32" s="13"/>
      <c r="G32" s="13"/>
      <c r="H32" s="13"/>
      <c r="I32" s="13"/>
      <c r="J32" s="316"/>
      <c r="K32" s="13"/>
      <c r="L32" s="13"/>
      <c r="M32" s="13"/>
      <c r="N32" s="13"/>
    </row>
    <row r="33" spans="1:2" ht="12.75">
      <c r="A33" s="49" t="s">
        <v>101</v>
      </c>
      <c r="B33" s="10" t="s">
        <v>93</v>
      </c>
    </row>
    <row r="34" spans="1:7" ht="12.75">
      <c r="A34" s="10" t="s">
        <v>33</v>
      </c>
      <c r="D34" s="191">
        <v>0.35</v>
      </c>
      <c r="G34" s="10" t="s">
        <v>341</v>
      </c>
    </row>
    <row r="35" spans="1:7" ht="12.75">
      <c r="A35" s="10" t="s">
        <v>34</v>
      </c>
      <c r="D35" s="192">
        <v>0.005</v>
      </c>
      <c r="G35" s="10" t="s">
        <v>335</v>
      </c>
    </row>
    <row r="36" spans="1:7" ht="12.75">
      <c r="A36" s="10" t="s">
        <v>35</v>
      </c>
      <c r="D36" s="193" t="s">
        <v>93</v>
      </c>
      <c r="G36" s="10" t="s">
        <v>349</v>
      </c>
    </row>
    <row r="37" spans="1:7" ht="12.75">
      <c r="A37" s="10" t="s">
        <v>36</v>
      </c>
      <c r="D37" s="192">
        <v>0.0765</v>
      </c>
      <c r="G37" s="10" t="s">
        <v>336</v>
      </c>
    </row>
    <row r="38" spans="1:4" ht="12.75">
      <c r="A38" s="10" t="s">
        <v>37</v>
      </c>
      <c r="D38" s="192">
        <v>0.01</v>
      </c>
    </row>
    <row r="39" spans="1:7" ht="12.75">
      <c r="A39" s="10" t="s">
        <v>69</v>
      </c>
      <c r="D39" s="192">
        <v>0.01</v>
      </c>
      <c r="G39" s="10" t="s">
        <v>337</v>
      </c>
    </row>
    <row r="40" spans="1:7" ht="12.75">
      <c r="A40" s="10" t="s">
        <v>38</v>
      </c>
      <c r="D40" s="192">
        <v>0.02</v>
      </c>
      <c r="G40" s="10" t="s">
        <v>338</v>
      </c>
    </row>
    <row r="41" spans="1:7" ht="12.75">
      <c r="A41" s="10" t="s">
        <v>68</v>
      </c>
      <c r="D41" s="192">
        <f>SUM(D37:D40)</f>
        <v>0.11649999999999999</v>
      </c>
      <c r="G41" s="10" t="s">
        <v>339</v>
      </c>
    </row>
    <row r="42" spans="1:7" ht="12.75">
      <c r="A42" s="10" t="s">
        <v>40</v>
      </c>
      <c r="D42" s="191">
        <v>0</v>
      </c>
      <c r="G42" s="10" t="s">
        <v>340</v>
      </c>
    </row>
    <row r="43" spans="1:7" ht="12.75">
      <c r="A43" s="10" t="s">
        <v>197</v>
      </c>
      <c r="D43" s="200">
        <v>0.2</v>
      </c>
      <c r="G43" s="10" t="s">
        <v>344</v>
      </c>
    </row>
    <row r="44" ht="12.75">
      <c r="G44" s="10" t="s">
        <v>345</v>
      </c>
    </row>
    <row r="46" ht="12.75">
      <c r="G46" s="10" t="s">
        <v>342</v>
      </c>
    </row>
    <row r="47" ht="12.75">
      <c r="G47" s="10" t="s">
        <v>343</v>
      </c>
    </row>
    <row r="51" spans="1:7" ht="12.75" hidden="1">
      <c r="A51" s="10">
        <v>6</v>
      </c>
      <c r="B51" s="10">
        <v>7</v>
      </c>
      <c r="C51" s="10">
        <v>8</v>
      </c>
      <c r="D51" s="10">
        <v>9</v>
      </c>
      <c r="E51" s="10">
        <v>10</v>
      </c>
      <c r="F51" s="10">
        <v>11</v>
      </c>
      <c r="G51" s="10">
        <v>12</v>
      </c>
    </row>
  </sheetData>
  <mergeCells count="4">
    <mergeCell ref="A1:N1"/>
    <mergeCell ref="A2:N2"/>
    <mergeCell ref="A3:N3"/>
    <mergeCell ref="A4:N4"/>
  </mergeCells>
  <printOptions/>
  <pageMargins left="0.77" right="0.51" top="0.33" bottom="0.6" header="0.65" footer="0.29"/>
  <pageSetup fitToHeight="1" fitToWidth="1" horizontalDpi="300" verticalDpi="300" orientation="landscape" scale="89"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9 C9:M9 C15:M15 C18:M18 C20:M20 C25:M25" formula="1"/>
  </ignoredErrors>
</worksheet>
</file>

<file path=xl/worksheets/sheet6.xml><?xml version="1.0" encoding="utf-8"?>
<worksheet xmlns="http://schemas.openxmlformats.org/spreadsheetml/2006/main" xmlns:r="http://schemas.openxmlformats.org/officeDocument/2006/relationships">
  <sheetPr codeName="Sheet3"/>
  <dimension ref="A2:AQ45"/>
  <sheetViews>
    <sheetView showGridLines="0" workbookViewId="0" topLeftCell="B29">
      <selection activeCell="P44" sqref="P44"/>
    </sheetView>
  </sheetViews>
  <sheetFormatPr defaultColWidth="9.140625" defaultRowHeight="12.75"/>
  <cols>
    <col min="1" max="1" width="20.57421875" style="1" customWidth="1"/>
    <col min="2" max="2" width="6.140625" style="14" customWidth="1"/>
    <col min="3" max="3" width="6.7109375" style="14" customWidth="1"/>
    <col min="4" max="4" width="7.7109375" style="14" customWidth="1"/>
    <col min="5" max="5" width="6.8515625" style="14" customWidth="1"/>
    <col min="6" max="6" width="6.57421875" style="14" customWidth="1"/>
    <col min="7" max="7" width="6.00390625" style="14" customWidth="1"/>
    <col min="8" max="9" width="6.7109375" style="14" customWidth="1"/>
    <col min="10" max="10" width="6.421875" style="14" customWidth="1"/>
    <col min="11" max="11" width="6.57421875" style="14" customWidth="1"/>
    <col min="12" max="12" width="6.7109375" style="14" customWidth="1"/>
    <col min="13" max="13" width="6.57421875" style="14" customWidth="1"/>
    <col min="14" max="14" width="6.00390625" style="14" customWidth="1"/>
    <col min="15" max="15" width="3.00390625" style="96" customWidth="1"/>
    <col min="16" max="16" width="15.8515625" style="1" customWidth="1"/>
    <col min="17" max="17" width="6.7109375" style="1" bestFit="1" customWidth="1"/>
    <col min="18" max="18" width="9.140625" style="1" customWidth="1"/>
    <col min="19" max="19" width="7.421875" style="1" customWidth="1"/>
    <col min="20" max="20" width="44.00390625" style="1" bestFit="1" customWidth="1"/>
    <col min="21" max="23" width="9.140625" style="1" customWidth="1"/>
    <col min="24" max="24" width="10.57421875" style="1" customWidth="1"/>
    <col min="25" max="16384" width="9.140625" style="1" customWidth="1"/>
  </cols>
  <sheetData>
    <row r="2" spans="1:15" ht="15.75">
      <c r="A2" s="418" t="str">
        <f>'B Balance sheet'!A1</f>
        <v>Speedy B's LLC - NEW</v>
      </c>
      <c r="B2" s="418"/>
      <c r="C2" s="418"/>
      <c r="D2" s="418"/>
      <c r="E2" s="418"/>
      <c r="F2" s="418"/>
      <c r="G2" s="418"/>
      <c r="H2" s="418"/>
      <c r="I2" s="418"/>
      <c r="J2" s="418"/>
      <c r="K2" s="418"/>
      <c r="L2" s="418"/>
      <c r="M2" s="418"/>
      <c r="N2" s="418"/>
      <c r="O2" s="90"/>
    </row>
    <row r="3" spans="1:15" ht="15.75">
      <c r="A3" s="418" t="s">
        <v>95</v>
      </c>
      <c r="B3" s="418"/>
      <c r="C3" s="418"/>
      <c r="D3" s="418"/>
      <c r="E3" s="418"/>
      <c r="F3" s="418"/>
      <c r="G3" s="418"/>
      <c r="H3" s="418"/>
      <c r="I3" s="418"/>
      <c r="J3" s="418"/>
      <c r="K3" s="418"/>
      <c r="L3" s="418"/>
      <c r="M3" s="418"/>
      <c r="N3" s="418"/>
      <c r="O3" s="90"/>
    </row>
    <row r="4" spans="1:15" ht="15.75">
      <c r="A4" s="418" t="str">
        <f>+'1st year Income stmt'!A3:N3</f>
        <v>For Year Ending</v>
      </c>
      <c r="B4" s="418"/>
      <c r="C4" s="418"/>
      <c r="D4" s="418"/>
      <c r="E4" s="418"/>
      <c r="F4" s="418"/>
      <c r="G4" s="418"/>
      <c r="H4" s="418"/>
      <c r="I4" s="418"/>
      <c r="J4" s="418"/>
      <c r="K4" s="418"/>
      <c r="L4" s="418"/>
      <c r="M4" s="418"/>
      <c r="N4" s="418"/>
      <c r="O4" s="91"/>
    </row>
    <row r="5" spans="1:15" ht="15.75">
      <c r="A5" s="419">
        <f>+'1st year Income stmt'!A4:N4</f>
        <v>39325</v>
      </c>
      <c r="B5" s="420"/>
      <c r="C5" s="420"/>
      <c r="D5" s="420"/>
      <c r="E5" s="420"/>
      <c r="F5" s="420"/>
      <c r="G5" s="420"/>
      <c r="H5" s="420"/>
      <c r="I5" s="420"/>
      <c r="J5" s="420"/>
      <c r="K5" s="420"/>
      <c r="L5" s="420"/>
      <c r="M5" s="420"/>
      <c r="N5" s="420"/>
      <c r="O5" s="92"/>
    </row>
    <row r="6" spans="1:15" s="7" customFormat="1" ht="12.75">
      <c r="A6" s="220"/>
      <c r="B6" s="238">
        <f>'1st year Income stmt'!B5</f>
        <v>38990</v>
      </c>
      <c r="C6" s="239">
        <f>'1st year Income stmt'!C5</f>
        <v>39021</v>
      </c>
      <c r="D6" s="239">
        <f>'1st year Income stmt'!D5</f>
        <v>39051</v>
      </c>
      <c r="E6" s="239">
        <f>'1st year Income stmt'!E5</f>
        <v>39082</v>
      </c>
      <c r="F6" s="239">
        <f>'1st year Income stmt'!F5</f>
        <v>39113</v>
      </c>
      <c r="G6" s="239">
        <f>'1st year Income stmt'!G5</f>
        <v>39141</v>
      </c>
      <c r="H6" s="239">
        <f>'1st year Income stmt'!H5</f>
        <v>39172</v>
      </c>
      <c r="I6" s="239">
        <f>'1st year Income stmt'!I5</f>
        <v>39202</v>
      </c>
      <c r="J6" s="239">
        <f>'1st year Income stmt'!J5</f>
        <v>39233</v>
      </c>
      <c r="K6" s="239">
        <f>'1st year Income stmt'!K5</f>
        <v>39263</v>
      </c>
      <c r="L6" s="239">
        <f>'1st year Income stmt'!L5</f>
        <v>39294</v>
      </c>
      <c r="M6" s="239">
        <f>'1st year Income stmt'!M5</f>
        <v>39325</v>
      </c>
      <c r="N6" s="246" t="s">
        <v>72</v>
      </c>
      <c r="O6" s="94"/>
    </row>
    <row r="7" spans="1:15" ht="12.75">
      <c r="A7" s="221" t="s">
        <v>41</v>
      </c>
      <c r="B7" s="245"/>
      <c r="C7" s="245"/>
      <c r="D7" s="245"/>
      <c r="E7" s="245"/>
      <c r="F7" s="245"/>
      <c r="G7" s="245"/>
      <c r="H7" s="245"/>
      <c r="I7" s="245"/>
      <c r="J7" s="245"/>
      <c r="K7" s="245"/>
      <c r="L7" s="245"/>
      <c r="M7" s="245"/>
      <c r="N7" s="243"/>
      <c r="O7" s="93"/>
    </row>
    <row r="8" spans="1:15" s="14" customFormat="1" ht="12.75">
      <c r="A8" s="222" t="s">
        <v>76</v>
      </c>
      <c r="B8" s="245">
        <f>'1st year Income stmt'!B8</f>
        <v>17917</v>
      </c>
      <c r="C8" s="245">
        <f>'1st year Income stmt'!C8</f>
        <v>17917</v>
      </c>
      <c r="D8" s="245">
        <f>'1st year Income stmt'!D8</f>
        <v>17917</v>
      </c>
      <c r="E8" s="245">
        <f>'1st year Income stmt'!E8</f>
        <v>17917</v>
      </c>
      <c r="F8" s="245">
        <f>'1st year Income stmt'!F8</f>
        <v>17917</v>
      </c>
      <c r="G8" s="245">
        <f>'1st year Income stmt'!G8</f>
        <v>17917</v>
      </c>
      <c r="H8" s="245">
        <f>'1st year Income stmt'!H8</f>
        <v>17917</v>
      </c>
      <c r="I8" s="245">
        <f>'1st year Income stmt'!I8</f>
        <v>17917</v>
      </c>
      <c r="J8" s="245">
        <f>'1st year Income stmt'!J8</f>
        <v>17917</v>
      </c>
      <c r="K8" s="245">
        <f>'1st year Income stmt'!K8</f>
        <v>17917</v>
      </c>
      <c r="L8" s="245">
        <f>'1st year Income stmt'!L8</f>
        <v>17917</v>
      </c>
      <c r="M8" s="245">
        <f>'1st year Income stmt'!M8</f>
        <v>17917</v>
      </c>
      <c r="N8" s="243">
        <f>SUM(B8:M8)</f>
        <v>215004</v>
      </c>
      <c r="O8" s="93"/>
    </row>
    <row r="9" spans="1:15" s="14" customFormat="1" ht="12.75">
      <c r="A9" s="222" t="s">
        <v>77</v>
      </c>
      <c r="B9" s="245">
        <f aca="true" t="shared" si="0" ref="B9:M9">+B8*$D$42</f>
        <v>0</v>
      </c>
      <c r="C9" s="245">
        <f t="shared" si="0"/>
        <v>0</v>
      </c>
      <c r="D9" s="245">
        <f t="shared" si="0"/>
        <v>0</v>
      </c>
      <c r="E9" s="245">
        <f t="shared" si="0"/>
        <v>0</v>
      </c>
      <c r="F9" s="245">
        <f t="shared" si="0"/>
        <v>0</v>
      </c>
      <c r="G9" s="245">
        <f t="shared" si="0"/>
        <v>0</v>
      </c>
      <c r="H9" s="245">
        <f t="shared" si="0"/>
        <v>0</v>
      </c>
      <c r="I9" s="245">
        <f t="shared" si="0"/>
        <v>0</v>
      </c>
      <c r="J9" s="245">
        <f t="shared" si="0"/>
        <v>0</v>
      </c>
      <c r="K9" s="245">
        <f t="shared" si="0"/>
        <v>0</v>
      </c>
      <c r="L9" s="245">
        <f t="shared" si="0"/>
        <v>0</v>
      </c>
      <c r="M9" s="245">
        <f t="shared" si="0"/>
        <v>0</v>
      </c>
      <c r="N9" s="243">
        <f>SUM(B9:M9)</f>
        <v>0</v>
      </c>
      <c r="O9" s="93"/>
    </row>
    <row r="10" spans="1:15" ht="12.75">
      <c r="A10" s="223" t="s">
        <v>307</v>
      </c>
      <c r="B10" s="247">
        <f>IF((1-$D$43/30)&lt;0,0)+'B Balance sheet'!C11</f>
        <v>0</v>
      </c>
      <c r="C10" s="247">
        <f>(C9*(1-$D$43/30))+(B9*$D$43/30)</f>
        <v>0</v>
      </c>
      <c r="D10" s="247">
        <f aca="true" t="shared" si="1" ref="D10:M10">(D9*(1-$D$43/30))+(C9*$D$43/30)</f>
        <v>0</v>
      </c>
      <c r="E10" s="247">
        <f t="shared" si="1"/>
        <v>0</v>
      </c>
      <c r="F10" s="247">
        <f t="shared" si="1"/>
        <v>0</v>
      </c>
      <c r="G10" s="247">
        <f t="shared" si="1"/>
        <v>0</v>
      </c>
      <c r="H10" s="247">
        <f t="shared" si="1"/>
        <v>0</v>
      </c>
      <c r="I10" s="247">
        <f t="shared" si="1"/>
        <v>0</v>
      </c>
      <c r="J10" s="247">
        <f t="shared" si="1"/>
        <v>0</v>
      </c>
      <c r="K10" s="247">
        <f t="shared" si="1"/>
        <v>0</v>
      </c>
      <c r="L10" s="247">
        <f t="shared" si="1"/>
        <v>0</v>
      </c>
      <c r="M10" s="247">
        <f t="shared" si="1"/>
        <v>0</v>
      </c>
      <c r="N10" s="243">
        <f>SUM(B10:M10)</f>
        <v>0</v>
      </c>
      <c r="O10" s="93"/>
    </row>
    <row r="11" spans="1:15" s="10" customFormat="1" ht="12.75">
      <c r="A11" s="221" t="s">
        <v>79</v>
      </c>
      <c r="B11" s="245">
        <f>+B8-B9+B10</f>
        <v>17917</v>
      </c>
      <c r="C11" s="245">
        <f aca="true" t="shared" si="2" ref="C11:M11">+C8-C9+C10</f>
        <v>17917</v>
      </c>
      <c r="D11" s="245">
        <f t="shared" si="2"/>
        <v>17917</v>
      </c>
      <c r="E11" s="245">
        <f t="shared" si="2"/>
        <v>17917</v>
      </c>
      <c r="F11" s="245">
        <f t="shared" si="2"/>
        <v>17917</v>
      </c>
      <c r="G11" s="245">
        <f t="shared" si="2"/>
        <v>17917</v>
      </c>
      <c r="H11" s="245">
        <f t="shared" si="2"/>
        <v>17917</v>
      </c>
      <c r="I11" s="245">
        <f t="shared" si="2"/>
        <v>17917</v>
      </c>
      <c r="J11" s="245">
        <f t="shared" si="2"/>
        <v>17917</v>
      </c>
      <c r="K11" s="245">
        <f t="shared" si="2"/>
        <v>17917</v>
      </c>
      <c r="L11" s="245">
        <f t="shared" si="2"/>
        <v>17917</v>
      </c>
      <c r="M11" s="245">
        <f t="shared" si="2"/>
        <v>17917</v>
      </c>
      <c r="N11" s="243">
        <f>SUM(B11:M11)-B10</f>
        <v>215004</v>
      </c>
      <c r="O11" s="93"/>
    </row>
    <row r="12" spans="1:15" ht="12.75">
      <c r="A12" s="224"/>
      <c r="B12" s="247"/>
      <c r="C12" s="247"/>
      <c r="D12" s="247"/>
      <c r="E12" s="247"/>
      <c r="F12" s="247"/>
      <c r="G12" s="247"/>
      <c r="H12" s="247"/>
      <c r="I12" s="247"/>
      <c r="J12" s="247"/>
      <c r="K12" s="247"/>
      <c r="L12" s="247"/>
      <c r="M12" s="247"/>
      <c r="N12" s="342"/>
      <c r="O12" s="95"/>
    </row>
    <row r="13" spans="1:18" ht="12.75">
      <c r="A13" s="221" t="s">
        <v>80</v>
      </c>
      <c r="B13" s="247"/>
      <c r="C13" s="247"/>
      <c r="D13" s="247"/>
      <c r="E13" s="247"/>
      <c r="F13" s="247"/>
      <c r="G13" s="247"/>
      <c r="H13" s="247"/>
      <c r="I13" s="247"/>
      <c r="J13" s="247"/>
      <c r="K13" s="247"/>
      <c r="L13" s="247"/>
      <c r="M13" s="247"/>
      <c r="N13" s="243">
        <f>SUM(B13:M13)</f>
        <v>0</v>
      </c>
      <c r="O13" s="93"/>
      <c r="P13"/>
      <c r="Q13"/>
      <c r="R13"/>
    </row>
    <row r="14" spans="1:18" ht="12.75">
      <c r="A14" s="225" t="s">
        <v>46</v>
      </c>
      <c r="B14" s="248">
        <v>0</v>
      </c>
      <c r="C14" s="248">
        <v>0</v>
      </c>
      <c r="D14" s="248">
        <v>0</v>
      </c>
      <c r="E14" s="248">
        <v>0</v>
      </c>
      <c r="F14" s="248">
        <v>0</v>
      </c>
      <c r="G14" s="248">
        <v>0</v>
      </c>
      <c r="H14" s="248">
        <v>0</v>
      </c>
      <c r="I14" s="248">
        <v>0</v>
      </c>
      <c r="J14" s="248">
        <v>0</v>
      </c>
      <c r="K14" s="248">
        <v>0</v>
      </c>
      <c r="L14" s="248">
        <v>0</v>
      </c>
      <c r="M14" s="248">
        <v>0</v>
      </c>
      <c r="N14" s="243">
        <f>SUM(B14:M14)</f>
        <v>0</v>
      </c>
      <c r="O14" s="93"/>
      <c r="P14"/>
      <c r="Q14"/>
      <c r="R14"/>
    </row>
    <row r="15" spans="1:21" ht="12.75">
      <c r="A15" s="225" t="s">
        <v>47</v>
      </c>
      <c r="B15" s="248">
        <v>0</v>
      </c>
      <c r="C15" s="248">
        <v>0</v>
      </c>
      <c r="D15" s="248">
        <v>0</v>
      </c>
      <c r="E15" s="248">
        <v>0</v>
      </c>
      <c r="F15" s="248">
        <v>0</v>
      </c>
      <c r="G15" s="248">
        <v>0</v>
      </c>
      <c r="H15" s="248">
        <v>0</v>
      </c>
      <c r="I15" s="248">
        <v>0</v>
      </c>
      <c r="J15" s="248">
        <v>0</v>
      </c>
      <c r="K15" s="248">
        <v>0</v>
      </c>
      <c r="L15" s="248">
        <v>0</v>
      </c>
      <c r="M15" s="248">
        <v>0</v>
      </c>
      <c r="N15" s="243">
        <f>SUM(B15:M15)</f>
        <v>0</v>
      </c>
      <c r="O15" s="93"/>
      <c r="P15"/>
      <c r="Q15"/>
      <c r="R15"/>
      <c r="S15"/>
      <c r="T15"/>
      <c r="U15"/>
    </row>
    <row r="16" spans="1:37" ht="12.75">
      <c r="A16" s="225" t="s">
        <v>48</v>
      </c>
      <c r="B16" s="248">
        <v>0</v>
      </c>
      <c r="C16" s="248">
        <v>0</v>
      </c>
      <c r="D16" s="248">
        <v>0</v>
      </c>
      <c r="E16" s="248">
        <v>0</v>
      </c>
      <c r="F16" s="248">
        <v>0</v>
      </c>
      <c r="G16" s="248">
        <v>0</v>
      </c>
      <c r="H16" s="248">
        <v>0</v>
      </c>
      <c r="I16" s="248">
        <v>0</v>
      </c>
      <c r="J16" s="248">
        <v>0</v>
      </c>
      <c r="K16" s="248">
        <v>0</v>
      </c>
      <c r="L16" s="248">
        <v>0</v>
      </c>
      <c r="M16" s="248">
        <v>0</v>
      </c>
      <c r="N16" s="243">
        <f>SUM(B16:M16)</f>
        <v>0</v>
      </c>
      <c r="O16" s="93"/>
      <c r="P16"/>
      <c r="Q16"/>
      <c r="R16"/>
      <c r="S16"/>
      <c r="T16"/>
      <c r="U16"/>
      <c r="X16" s="10" t="s">
        <v>85</v>
      </c>
      <c r="Y16" s="10"/>
      <c r="Z16" s="10"/>
      <c r="AA16" s="10"/>
      <c r="AB16" s="10"/>
      <c r="AC16" s="10"/>
      <c r="AD16" s="10"/>
      <c r="AE16" s="10"/>
      <c r="AF16" s="10"/>
      <c r="AG16" s="10"/>
      <c r="AH16" s="10"/>
      <c r="AI16" s="10"/>
      <c r="AJ16" s="10"/>
      <c r="AK16" s="10"/>
    </row>
    <row r="17" spans="1:37" ht="12.75">
      <c r="A17" s="226" t="s">
        <v>300</v>
      </c>
      <c r="B17" s="333">
        <f aca="true" t="shared" si="3" ref="B17:M17">B11+SUM(B14:B16)</f>
        <v>17917</v>
      </c>
      <c r="C17" s="333">
        <f t="shared" si="3"/>
        <v>17917</v>
      </c>
      <c r="D17" s="333">
        <f t="shared" si="3"/>
        <v>17917</v>
      </c>
      <c r="E17" s="333">
        <f t="shared" si="3"/>
        <v>17917</v>
      </c>
      <c r="F17" s="333">
        <f t="shared" si="3"/>
        <v>17917</v>
      </c>
      <c r="G17" s="333">
        <f t="shared" si="3"/>
        <v>17917</v>
      </c>
      <c r="H17" s="333">
        <f t="shared" si="3"/>
        <v>17917</v>
      </c>
      <c r="I17" s="333">
        <f t="shared" si="3"/>
        <v>17917</v>
      </c>
      <c r="J17" s="333">
        <f t="shared" si="3"/>
        <v>17917</v>
      </c>
      <c r="K17" s="333">
        <f t="shared" si="3"/>
        <v>17917</v>
      </c>
      <c r="L17" s="333">
        <f t="shared" si="3"/>
        <v>17917</v>
      </c>
      <c r="M17" s="333">
        <f t="shared" si="3"/>
        <v>17917</v>
      </c>
      <c r="N17" s="329">
        <f>SUM(B17:M17)</f>
        <v>215004</v>
      </c>
      <c r="O17" s="93"/>
      <c r="P17"/>
      <c r="Q17"/>
      <c r="R17"/>
      <c r="S17"/>
      <c r="T17"/>
      <c r="U17"/>
      <c r="X17" s="10" t="s">
        <v>86</v>
      </c>
      <c r="Y17" s="10"/>
      <c r="Z17" s="10"/>
      <c r="AA17" s="10"/>
      <c r="AB17" s="10"/>
      <c r="AC17" s="10"/>
      <c r="AD17" s="10"/>
      <c r="AE17" s="10"/>
      <c r="AF17" s="10"/>
      <c r="AG17" s="10"/>
      <c r="AH17" s="10"/>
      <c r="AI17" s="10"/>
      <c r="AJ17" s="10"/>
      <c r="AK17" s="10"/>
    </row>
    <row r="18" spans="1:37" ht="12.75">
      <c r="A18" s="223"/>
      <c r="B18" s="247"/>
      <c r="C18" s="247"/>
      <c r="D18" s="247"/>
      <c r="E18" s="247"/>
      <c r="F18" s="247"/>
      <c r="G18" s="247"/>
      <c r="H18" s="247"/>
      <c r="I18" s="247"/>
      <c r="J18" s="247"/>
      <c r="K18" s="247"/>
      <c r="L18" s="247"/>
      <c r="M18" s="247"/>
      <c r="N18" s="342"/>
      <c r="O18" s="95"/>
      <c r="P18"/>
      <c r="Q18"/>
      <c r="R18"/>
      <c r="S18"/>
      <c r="T18"/>
      <c r="U18"/>
      <c r="X18" s="10" t="s">
        <v>87</v>
      </c>
      <c r="Y18" s="118" t="e">
        <f>ROUND(PMT(U32/12,U33*12,-#REF!),0)</f>
        <v>#REF!</v>
      </c>
      <c r="Z18" s="10"/>
      <c r="AA18" s="10"/>
      <c r="AB18" s="10"/>
      <c r="AC18" s="10"/>
      <c r="AD18" s="10"/>
      <c r="AE18" s="10"/>
      <c r="AF18" s="10"/>
      <c r="AG18" s="10"/>
      <c r="AH18" s="10"/>
      <c r="AI18" s="10"/>
      <c r="AJ18" s="10"/>
      <c r="AK18" s="10"/>
    </row>
    <row r="19" spans="1:37" ht="12.75">
      <c r="A19" s="221" t="s">
        <v>78</v>
      </c>
      <c r="B19" s="247"/>
      <c r="C19" s="247"/>
      <c r="D19" s="247"/>
      <c r="E19" s="247"/>
      <c r="F19" s="247"/>
      <c r="G19" s="247"/>
      <c r="H19" s="247"/>
      <c r="I19" s="247"/>
      <c r="J19" s="247"/>
      <c r="K19" s="247"/>
      <c r="L19" s="247"/>
      <c r="M19" s="247"/>
      <c r="N19" s="342"/>
      <c r="O19" s="95"/>
      <c r="P19"/>
      <c r="Q19"/>
      <c r="R19"/>
      <c r="S19"/>
      <c r="T19"/>
      <c r="U19"/>
      <c r="X19" s="10" t="s">
        <v>60</v>
      </c>
      <c r="Y19" s="118"/>
      <c r="Z19" s="10"/>
      <c r="AA19" s="10"/>
      <c r="AB19" s="10"/>
      <c r="AC19" s="10"/>
      <c r="AD19" s="10"/>
      <c r="AE19" s="10"/>
      <c r="AF19" s="10"/>
      <c r="AG19" s="10"/>
      <c r="AH19" s="10"/>
      <c r="AI19" s="10"/>
      <c r="AJ19" s="10"/>
      <c r="AK19" s="10"/>
    </row>
    <row r="20" spans="1:37" ht="12.75">
      <c r="A20" s="224" t="s">
        <v>309</v>
      </c>
      <c r="B20" s="245">
        <f>'1st year Income stmt'!B9</f>
        <v>6270</v>
      </c>
      <c r="C20" s="245">
        <f>'1st year Income stmt'!C9</f>
        <v>6270</v>
      </c>
      <c r="D20" s="245">
        <f>'1st year Income stmt'!D9</f>
        <v>6270</v>
      </c>
      <c r="E20" s="245">
        <f>'1st year Income stmt'!E9</f>
        <v>6270</v>
      </c>
      <c r="F20" s="245">
        <f>'1st year Income stmt'!F9</f>
        <v>6270</v>
      </c>
      <c r="G20" s="245">
        <f>'1st year Income stmt'!G9</f>
        <v>6270</v>
      </c>
      <c r="H20" s="245">
        <f>'1st year Income stmt'!H9</f>
        <v>6270</v>
      </c>
      <c r="I20" s="245">
        <f>'1st year Income stmt'!I9</f>
        <v>6270</v>
      </c>
      <c r="J20" s="245">
        <f>'1st year Income stmt'!J9</f>
        <v>6270</v>
      </c>
      <c r="K20" s="245">
        <f>'1st year Income stmt'!K9</f>
        <v>6270</v>
      </c>
      <c r="L20" s="245">
        <f>'1st year Income stmt'!L9</f>
        <v>6270</v>
      </c>
      <c r="M20" s="245">
        <f>'1st year Income stmt'!M9</f>
        <v>6270</v>
      </c>
      <c r="N20" s="243">
        <f aca="true" t="shared" si="4" ref="N20:N32">SUM(B20:M20)</f>
        <v>75240</v>
      </c>
      <c r="O20" s="93"/>
      <c r="P20" s="89"/>
      <c r="Q20" s="89"/>
      <c r="R20" s="89"/>
      <c r="S20"/>
      <c r="T20"/>
      <c r="U20"/>
      <c r="X20" s="10" t="s">
        <v>84</v>
      </c>
      <c r="Y20" s="10" t="s">
        <v>87</v>
      </c>
      <c r="Z20" s="10"/>
      <c r="AA20" s="10"/>
      <c r="AB20" s="10"/>
      <c r="AC20" s="10"/>
      <c r="AD20" s="10"/>
      <c r="AE20" s="10"/>
      <c r="AF20" s="10"/>
      <c r="AG20" s="10"/>
      <c r="AH20" s="10"/>
      <c r="AI20" s="10"/>
      <c r="AJ20" s="10"/>
      <c r="AK20" s="10"/>
    </row>
    <row r="21" spans="1:37" ht="12.75">
      <c r="A21" s="224" t="s">
        <v>310</v>
      </c>
      <c r="B21" s="245">
        <f>+B20*$D$44</f>
        <v>0</v>
      </c>
      <c r="C21" s="245">
        <f aca="true" t="shared" si="5" ref="C21:M21">+C20*$D$44</f>
        <v>0</v>
      </c>
      <c r="D21" s="245">
        <f t="shared" si="5"/>
        <v>0</v>
      </c>
      <c r="E21" s="245">
        <f t="shared" si="5"/>
        <v>0</v>
      </c>
      <c r="F21" s="245">
        <f t="shared" si="5"/>
        <v>0</v>
      </c>
      <c r="G21" s="245">
        <f t="shared" si="5"/>
        <v>0</v>
      </c>
      <c r="H21" s="245">
        <f t="shared" si="5"/>
        <v>0</v>
      </c>
      <c r="I21" s="245">
        <f t="shared" si="5"/>
        <v>0</v>
      </c>
      <c r="J21" s="245">
        <f t="shared" si="5"/>
        <v>0</v>
      </c>
      <c r="K21" s="245">
        <f t="shared" si="5"/>
        <v>0</v>
      </c>
      <c r="L21" s="245">
        <f t="shared" si="5"/>
        <v>0</v>
      </c>
      <c r="M21" s="245">
        <f t="shared" si="5"/>
        <v>0</v>
      </c>
      <c r="N21" s="243">
        <f>SUM(B21:M21)</f>
        <v>0</v>
      </c>
      <c r="O21" s="93"/>
      <c r="P21" s="89"/>
      <c r="Q21" s="89"/>
      <c r="R21" s="89"/>
      <c r="S21"/>
      <c r="T21"/>
      <c r="U21"/>
      <c r="X21" s="10"/>
      <c r="Y21" s="10"/>
      <c r="Z21" s="10"/>
      <c r="AA21" s="10"/>
      <c r="AB21" s="10"/>
      <c r="AC21" s="10"/>
      <c r="AD21" s="10"/>
      <c r="AE21" s="10"/>
      <c r="AF21" s="10"/>
      <c r="AG21" s="10"/>
      <c r="AH21" s="10"/>
      <c r="AI21" s="10"/>
      <c r="AJ21" s="10"/>
      <c r="AK21" s="10"/>
    </row>
    <row r="22" spans="1:37" ht="12.75">
      <c r="A22" s="224" t="s">
        <v>311</v>
      </c>
      <c r="B22" s="245">
        <f>+'B Balance sheet'!H10</f>
        <v>0</v>
      </c>
      <c r="C22" s="245">
        <f>(C21*(1-$D$45/30))+(B21*$D$45/30)</f>
        <v>0</v>
      </c>
      <c r="D22" s="245">
        <f aca="true" t="shared" si="6" ref="D22:M22">(D21*(1-$D$45/30))+(C21*$D$45/30)</f>
        <v>0</v>
      </c>
      <c r="E22" s="245">
        <f t="shared" si="6"/>
        <v>0</v>
      </c>
      <c r="F22" s="245">
        <f t="shared" si="6"/>
        <v>0</v>
      </c>
      <c r="G22" s="245">
        <f t="shared" si="6"/>
        <v>0</v>
      </c>
      <c r="H22" s="245">
        <f t="shared" si="6"/>
        <v>0</v>
      </c>
      <c r="I22" s="245">
        <f t="shared" si="6"/>
        <v>0</v>
      </c>
      <c r="J22" s="245">
        <f t="shared" si="6"/>
        <v>0</v>
      </c>
      <c r="K22" s="245">
        <f t="shared" si="6"/>
        <v>0</v>
      </c>
      <c r="L22" s="245">
        <f t="shared" si="6"/>
        <v>0</v>
      </c>
      <c r="M22" s="245">
        <f t="shared" si="6"/>
        <v>0</v>
      </c>
      <c r="N22" s="243">
        <f>+M22</f>
        <v>0</v>
      </c>
      <c r="O22" s="93"/>
      <c r="P22" s="89"/>
      <c r="Q22" s="89"/>
      <c r="R22" s="89"/>
      <c r="S22"/>
      <c r="T22"/>
      <c r="U22"/>
      <c r="X22" s="10"/>
      <c r="Y22" s="10"/>
      <c r="Z22" s="10"/>
      <c r="AA22" s="10"/>
      <c r="AB22" s="10"/>
      <c r="AC22" s="10"/>
      <c r="AD22" s="10"/>
      <c r="AE22" s="10"/>
      <c r="AF22" s="10"/>
      <c r="AG22" s="10"/>
      <c r="AH22" s="10"/>
      <c r="AI22" s="10"/>
      <c r="AJ22" s="10"/>
      <c r="AK22" s="10"/>
    </row>
    <row r="23" spans="1:37" ht="12.75">
      <c r="A23" s="221" t="s">
        <v>312</v>
      </c>
      <c r="B23" s="245">
        <f>+B20-B21+B22</f>
        <v>6270</v>
      </c>
      <c r="C23" s="245">
        <f aca="true" t="shared" si="7" ref="C23:M23">+C20-C21+C22</f>
        <v>6270</v>
      </c>
      <c r="D23" s="245">
        <f t="shared" si="7"/>
        <v>6270</v>
      </c>
      <c r="E23" s="245">
        <f t="shared" si="7"/>
        <v>6270</v>
      </c>
      <c r="F23" s="245">
        <f t="shared" si="7"/>
        <v>6270</v>
      </c>
      <c r="G23" s="245">
        <f t="shared" si="7"/>
        <v>6270</v>
      </c>
      <c r="H23" s="245">
        <f t="shared" si="7"/>
        <v>6270</v>
      </c>
      <c r="I23" s="245">
        <f t="shared" si="7"/>
        <v>6270</v>
      </c>
      <c r="J23" s="245">
        <f t="shared" si="7"/>
        <v>6270</v>
      </c>
      <c r="K23" s="245">
        <f t="shared" si="7"/>
        <v>6270</v>
      </c>
      <c r="L23" s="245">
        <f t="shared" si="7"/>
        <v>6270</v>
      </c>
      <c r="M23" s="245">
        <f t="shared" si="7"/>
        <v>6270</v>
      </c>
      <c r="N23" s="243">
        <f>SUM(B23:M23)</f>
        <v>75240</v>
      </c>
      <c r="O23" s="93"/>
      <c r="P23" s="89"/>
      <c r="Q23" s="89"/>
      <c r="R23" s="89"/>
      <c r="S23"/>
      <c r="T23"/>
      <c r="U23"/>
      <c r="X23" s="10"/>
      <c r="Y23" s="10"/>
      <c r="Z23" s="10"/>
      <c r="AA23" s="10"/>
      <c r="AB23" s="10"/>
      <c r="AC23" s="10"/>
      <c r="AD23" s="10"/>
      <c r="AE23" s="10"/>
      <c r="AF23" s="10"/>
      <c r="AG23" s="10"/>
      <c r="AH23" s="10"/>
      <c r="AI23" s="10"/>
      <c r="AJ23" s="10"/>
      <c r="AK23" s="10"/>
    </row>
    <row r="24" spans="1:43" ht="12.75">
      <c r="A24" s="224" t="s">
        <v>52</v>
      </c>
      <c r="B24" s="245">
        <f>+'1st year Income stmt'!B14+'1st year Income stmt'!B16+'1st year Income stmt'!B17+'1st year Income stmt'!B19+'1st year Income stmt'!B21+'1st year Income stmt'!B22+'1st year Income stmt'!B23+'1st year Income stmt'!B24+'1st year Income stmt'!B25+'1st year Income stmt'!B26</f>
        <v>2555</v>
      </c>
      <c r="C24" s="245">
        <f>+'1st year Income stmt'!C14+'1st year Income stmt'!C16+'1st year Income stmt'!C17+'1st year Income stmt'!C19+'1st year Income stmt'!C21+'1st year Income stmt'!C22+'1st year Income stmt'!C23+'1st year Income stmt'!C24+'1st year Income stmt'!C25+'1st year Income stmt'!C26</f>
        <v>2555</v>
      </c>
      <c r="D24" s="245">
        <f>+'1st year Income stmt'!D14+'1st year Income stmt'!D16+'1st year Income stmt'!D17+'1st year Income stmt'!D19+'1st year Income stmt'!D21+'1st year Income stmt'!D22+'1st year Income stmt'!D23+'1st year Income stmt'!D24+'1st year Income stmt'!D25+'1st year Income stmt'!D26</f>
        <v>2555</v>
      </c>
      <c r="E24" s="245">
        <f>+'1st year Income stmt'!E14+'1st year Income stmt'!E16+'1st year Income stmt'!E17+'1st year Income stmt'!E19+'1st year Income stmt'!E21+'1st year Income stmt'!E22+'1st year Income stmt'!E23+'1st year Income stmt'!E24+'1st year Income stmt'!E25+'1st year Income stmt'!E26</f>
        <v>2555</v>
      </c>
      <c r="F24" s="245">
        <f>+'1st year Income stmt'!F14+'1st year Income stmt'!F16+'1st year Income stmt'!F17+'1st year Income stmt'!F19+'1st year Income stmt'!F21+'1st year Income stmt'!F22+'1st year Income stmt'!F23+'1st year Income stmt'!F24+'1st year Income stmt'!F25+'1st year Income stmt'!F26</f>
        <v>2555</v>
      </c>
      <c r="G24" s="245">
        <f>+'1st year Income stmt'!G14+'1st year Income stmt'!G16+'1st year Income stmt'!G17+'1st year Income stmt'!G19+'1st year Income stmt'!G21+'1st year Income stmt'!G22+'1st year Income stmt'!G23+'1st year Income stmt'!G24+'1st year Income stmt'!G25+'1st year Income stmt'!G26</f>
        <v>2555</v>
      </c>
      <c r="H24" s="245">
        <f>+'1st year Income stmt'!H14+'1st year Income stmt'!H16+'1st year Income stmt'!H17+'1st year Income stmt'!H19+'1st year Income stmt'!H21+'1st year Income stmt'!H22+'1st year Income stmt'!H23+'1st year Income stmt'!H24+'1st year Income stmt'!H25+'1st year Income stmt'!H26</f>
        <v>2555</v>
      </c>
      <c r="I24" s="245">
        <f>+'1st year Income stmt'!I14+'1st year Income stmt'!I16+'1st year Income stmt'!I17+'1st year Income stmt'!I19+'1st year Income stmt'!I21+'1st year Income stmt'!I22+'1st year Income stmt'!I23+'1st year Income stmt'!I24+'1st year Income stmt'!I25+'1st year Income stmt'!I26</f>
        <v>2555</v>
      </c>
      <c r="J24" s="245">
        <f>+'1st year Income stmt'!J14+'1st year Income stmt'!J16+'1st year Income stmt'!J17+'1st year Income stmt'!J19+'1st year Income stmt'!J21+'1st year Income stmt'!J22+'1st year Income stmt'!J23+'1st year Income stmt'!J24+'1st year Income stmt'!J25+'1st year Income stmt'!J26</f>
        <v>2555</v>
      </c>
      <c r="K24" s="245">
        <f>+'1st year Income stmt'!K14+'1st year Income stmt'!K16+'1st year Income stmt'!K17+'1st year Income stmt'!K19+'1st year Income stmt'!K21+'1st year Income stmt'!K22+'1st year Income stmt'!K23+'1st year Income stmt'!K24+'1st year Income stmt'!K25+'1st year Income stmt'!K26</f>
        <v>2555</v>
      </c>
      <c r="L24" s="245">
        <f>+'1st year Income stmt'!L14+'1st year Income stmt'!L16+'1st year Income stmt'!L17+'1st year Income stmt'!L19+'1st year Income stmt'!L21+'1st year Income stmt'!L22+'1st year Income stmt'!L23+'1st year Income stmt'!L24+'1st year Income stmt'!L25+'1st year Income stmt'!L26</f>
        <v>2555</v>
      </c>
      <c r="M24" s="245">
        <f>+'1st year Income stmt'!M14+'1st year Income stmt'!M16+'1st year Income stmt'!M17+'1st year Income stmt'!M19+'1st year Income stmt'!M21+'1st year Income stmt'!M22+'1st year Income stmt'!M23+'1st year Income stmt'!M24+'1st year Income stmt'!M25+'1st year Income stmt'!M26</f>
        <v>2559</v>
      </c>
      <c r="N24" s="243">
        <f t="shared" si="4"/>
        <v>30664</v>
      </c>
      <c r="O24" s="93"/>
      <c r="P24" s="89"/>
      <c r="Q24" s="89"/>
      <c r="R24" s="89"/>
      <c r="S24"/>
      <c r="T24"/>
      <c r="U24"/>
      <c r="X24" s="10" t="s">
        <v>71</v>
      </c>
      <c r="Y24" s="10">
        <v>1</v>
      </c>
      <c r="Z24" s="10">
        <v>2</v>
      </c>
      <c r="AA24" s="10">
        <v>3</v>
      </c>
      <c r="AB24" s="10">
        <v>4</v>
      </c>
      <c r="AC24" s="10">
        <v>5</v>
      </c>
      <c r="AD24" s="10">
        <v>6</v>
      </c>
      <c r="AE24" s="10">
        <v>7</v>
      </c>
      <c r="AF24" s="10">
        <v>8</v>
      </c>
      <c r="AG24" s="10">
        <v>9</v>
      </c>
      <c r="AH24" s="10">
        <v>10</v>
      </c>
      <c r="AI24" s="10">
        <v>11</v>
      </c>
      <c r="AJ24" s="10">
        <v>12</v>
      </c>
      <c r="AK24" s="10"/>
      <c r="AL24" s="1" t="s">
        <v>88</v>
      </c>
      <c r="AM24" s="1" t="s">
        <v>89</v>
      </c>
      <c r="AN24" s="1" t="s">
        <v>90</v>
      </c>
      <c r="AO24" s="1" t="s">
        <v>91</v>
      </c>
      <c r="AQ24" s="1" t="s">
        <v>92</v>
      </c>
    </row>
    <row r="25" spans="1:37" ht="12.75">
      <c r="A25" s="224" t="s">
        <v>195</v>
      </c>
      <c r="B25" s="245">
        <f>+'1st year Income stmt'!B30</f>
        <v>540.2</v>
      </c>
      <c r="C25" s="245">
        <f>+'1st year Income stmt'!C30</f>
        <v>541</v>
      </c>
      <c r="D25" s="245">
        <f>+'1st year Income stmt'!D30</f>
        <v>541.8000000000001</v>
      </c>
      <c r="E25" s="245">
        <f>+'1st year Income stmt'!E30</f>
        <v>542.6</v>
      </c>
      <c r="F25" s="245">
        <f>+'1st year Income stmt'!F30</f>
        <v>543.6</v>
      </c>
      <c r="G25" s="245">
        <f>+'1st year Income stmt'!G30</f>
        <v>544.4</v>
      </c>
      <c r="H25" s="245">
        <f>+'1st year Income stmt'!H30</f>
        <v>545.4</v>
      </c>
      <c r="I25" s="245">
        <f>+'1st year Income stmt'!I30</f>
        <v>546.2</v>
      </c>
      <c r="J25" s="245">
        <f>+'1st year Income stmt'!J30</f>
        <v>547.2</v>
      </c>
      <c r="K25" s="245">
        <f>+'1st year Income stmt'!K30</f>
        <v>548</v>
      </c>
      <c r="L25" s="245">
        <f>+'1st year Income stmt'!L30</f>
        <v>549</v>
      </c>
      <c r="M25" s="245">
        <f>+'1st year Income stmt'!M30</f>
        <v>549</v>
      </c>
      <c r="N25" s="243">
        <f t="shared" si="4"/>
        <v>6538.4</v>
      </c>
      <c r="O25" s="93"/>
      <c r="P25" s="89"/>
      <c r="Q25" s="89"/>
      <c r="R25" s="89"/>
      <c r="S25"/>
      <c r="T25"/>
      <c r="U25"/>
      <c r="X25" s="10"/>
      <c r="Y25" s="10"/>
      <c r="Z25" s="10"/>
      <c r="AA25" s="10"/>
      <c r="AB25" s="10"/>
      <c r="AC25" s="10"/>
      <c r="AD25" s="10"/>
      <c r="AE25" s="10"/>
      <c r="AF25" s="10"/>
      <c r="AG25" s="10"/>
      <c r="AH25" s="10"/>
      <c r="AI25" s="10"/>
      <c r="AJ25" s="10"/>
      <c r="AK25" s="10"/>
    </row>
    <row r="26" spans="1:43" ht="12.75">
      <c r="A26" s="224" t="s">
        <v>53</v>
      </c>
      <c r="B26" s="245">
        <f>+'1st year Income stmt'!B13+'1st year Income stmt'!B15</f>
        <v>4986</v>
      </c>
      <c r="C26" s="245">
        <f>+'1st year Income stmt'!C13+'1st year Income stmt'!C15</f>
        <v>4986</v>
      </c>
      <c r="D26" s="245">
        <f>+'1st year Income stmt'!D13+'1st year Income stmt'!D15</f>
        <v>4986</v>
      </c>
      <c r="E26" s="245">
        <f>+'1st year Income stmt'!E13+'1st year Income stmt'!E15</f>
        <v>4986</v>
      </c>
      <c r="F26" s="245">
        <f>+'1st year Income stmt'!F13+'1st year Income stmt'!F15</f>
        <v>4986</v>
      </c>
      <c r="G26" s="245">
        <f>+'1st year Income stmt'!G13+'1st year Income stmt'!G15</f>
        <v>4986</v>
      </c>
      <c r="H26" s="245">
        <f>+'1st year Income stmt'!H13+'1st year Income stmt'!H15</f>
        <v>4986</v>
      </c>
      <c r="I26" s="245">
        <f>+'1st year Income stmt'!I13+'1st year Income stmt'!I15</f>
        <v>4986</v>
      </c>
      <c r="J26" s="245">
        <f>+'1st year Income stmt'!J13+'1st year Income stmt'!J15</f>
        <v>4986</v>
      </c>
      <c r="K26" s="245">
        <f>+'1st year Income stmt'!K13+'1st year Income stmt'!K15</f>
        <v>4986</v>
      </c>
      <c r="L26" s="245">
        <f>+'1st year Income stmt'!L13+'1st year Income stmt'!L15</f>
        <v>4986</v>
      </c>
      <c r="M26" s="245">
        <f>+'1st year Income stmt'!M13+'1st year Income stmt'!M15</f>
        <v>4986</v>
      </c>
      <c r="N26" s="243">
        <f t="shared" si="4"/>
        <v>59832</v>
      </c>
      <c r="O26" s="93"/>
      <c r="P26" s="89"/>
      <c r="Q26" s="89"/>
      <c r="R26" s="89"/>
      <c r="S26"/>
      <c r="T26"/>
      <c r="U26"/>
      <c r="X26" s="1">
        <v>1</v>
      </c>
      <c r="Y26" s="118" t="e">
        <f>ROUND(IPMT($U$32/12,Y$24,$U$33*12,-#REF!),0)</f>
        <v>#REF!</v>
      </c>
      <c r="Z26" s="118" t="e">
        <f>ROUND(IPMT($U$32/12,Z24,$U$33*12,-#REF!),0)</f>
        <v>#REF!</v>
      </c>
      <c r="AA26" s="118" t="e">
        <f>ROUND(IPMT($U$32/12,AA24,$U$33*12,-#REF!),0)</f>
        <v>#REF!</v>
      </c>
      <c r="AB26" s="118" t="e">
        <f>ROUND(IPMT($U$32/12,AB24,$U$33*12,-#REF!),0)</f>
        <v>#REF!</v>
      </c>
      <c r="AC26" s="118" t="e">
        <f>ROUND(IPMT($U$32/12,AC24,$U$33*12,-#REF!),0)</f>
        <v>#REF!</v>
      </c>
      <c r="AD26" s="118" t="e">
        <f>ROUND(IPMT($U$32/12,AD24,$U$33*12,-#REF!),0)</f>
        <v>#REF!</v>
      </c>
      <c r="AE26" s="118" t="e">
        <f>ROUND(IPMT($U$32/12,AE24,$U$33*12,-#REF!),0)</f>
        <v>#REF!</v>
      </c>
      <c r="AF26" s="118" t="e">
        <f>ROUND(IPMT($U$32/12,AF24,$U$33*12,-#REF!),0)</f>
        <v>#REF!</v>
      </c>
      <c r="AG26" s="118" t="e">
        <f>ROUND(IPMT($U$32/12,AG24,$U$33*12,-#REF!),0)</f>
        <v>#REF!</v>
      </c>
      <c r="AH26" s="118" t="e">
        <f>ROUND(IPMT($U$32/12,AH24,$U$33*12,-#REF!),0)</f>
        <v>#REF!</v>
      </c>
      <c r="AI26" s="118" t="e">
        <f>ROUND(IPMT($U$32/12,AI24,$U$33*12,-#REF!),0)</f>
        <v>#REF!</v>
      </c>
      <c r="AJ26" s="118" t="e">
        <f>ROUND(IPMT($U$32/12,AJ24,$U$33*12,-#REF!),0)</f>
        <v>#REF!</v>
      </c>
      <c r="AL26" s="122" t="e">
        <f>SUM(Y26:AA26)</f>
        <v>#REF!</v>
      </c>
      <c r="AM26" s="122" t="e">
        <f>SUM(AB26:AD26)</f>
        <v>#REF!</v>
      </c>
      <c r="AN26" s="122" t="e">
        <f>SUM(AE26:AG26)</f>
        <v>#REF!</v>
      </c>
      <c r="AO26" s="122" t="e">
        <f>SUM(AH26:AJ26)</f>
        <v>#REF!</v>
      </c>
      <c r="AQ26" s="118" t="e">
        <f>SUM(Y26:AJ26)</f>
        <v>#REF!</v>
      </c>
    </row>
    <row r="27" spans="1:43" ht="12.75">
      <c r="A27" s="224" t="s">
        <v>99</v>
      </c>
      <c r="B27" s="245">
        <f>+'Pmt Schedule'!E10</f>
        <v>643</v>
      </c>
      <c r="C27" s="245">
        <f>+'Pmt Schedule'!E11</f>
        <v>647</v>
      </c>
      <c r="D27" s="245">
        <f>+'Pmt Schedule'!E12</f>
        <v>651</v>
      </c>
      <c r="E27" s="245">
        <f>+'Pmt Schedule'!E13</f>
        <v>655</v>
      </c>
      <c r="F27" s="245">
        <f>+'Pmt Schedule'!E14</f>
        <v>660</v>
      </c>
      <c r="G27" s="245">
        <f>+'Pmt Schedule'!E15</f>
        <v>664</v>
      </c>
      <c r="H27" s="245">
        <f>+'Pmt Schedule'!E16</f>
        <v>669</v>
      </c>
      <c r="I27" s="245">
        <f>+'Pmt Schedule'!E17</f>
        <v>673</v>
      </c>
      <c r="J27" s="245">
        <f>+'Pmt Schedule'!E18</f>
        <v>678</v>
      </c>
      <c r="K27" s="245">
        <f>+'Pmt Schedule'!E19</f>
        <v>682</v>
      </c>
      <c r="L27" s="245">
        <f>+'Pmt Schedule'!E20</f>
        <v>687</v>
      </c>
      <c r="M27" s="245">
        <f>+'Pmt Schedule'!E21</f>
        <v>691</v>
      </c>
      <c r="N27" s="243">
        <f t="shared" si="4"/>
        <v>8000</v>
      </c>
      <c r="O27" s="93"/>
      <c r="P27" s="89"/>
      <c r="Q27" s="89"/>
      <c r="R27" s="89"/>
      <c r="S27"/>
      <c r="T27"/>
      <c r="U27"/>
      <c r="X27" s="10">
        <v>2</v>
      </c>
      <c r="Y27" s="118" t="e">
        <f>ROUND(IPMT($U$32/12,Y$24+12,$U$33*12,-#REF!),0)</f>
        <v>#REF!</v>
      </c>
      <c r="Z27" s="118" t="e">
        <f>ROUND(IPMT($U$32/12,Z$24+12,$U$33*12,-#REF!),0)</f>
        <v>#REF!</v>
      </c>
      <c r="AA27" s="118" t="e">
        <f>ROUND(IPMT($U$32/12,AA$24+12,$U$33*12,-#REF!),0)</f>
        <v>#REF!</v>
      </c>
      <c r="AB27" s="118" t="e">
        <f>ROUND(IPMT($U$32/12,AB$24+12,$U$33*12,-#REF!),0)</f>
        <v>#REF!</v>
      </c>
      <c r="AC27" s="118" t="e">
        <f>ROUND(IPMT($U$32/12,AC$24+12,$U$33*12,-#REF!),0)</f>
        <v>#REF!</v>
      </c>
      <c r="AD27" s="118" t="e">
        <f>ROUND(IPMT($U$32/12,AD$24+12,$U$33*12,-#REF!),0)</f>
        <v>#REF!</v>
      </c>
      <c r="AE27" s="118" t="e">
        <f>ROUND(IPMT($U$32/12,AE$24+12,$U$33*12,-#REF!),0)</f>
        <v>#REF!</v>
      </c>
      <c r="AF27" s="118" t="e">
        <f>ROUND(IPMT($U$32/12,AF$24+12,$U$33*12,-#REF!),0)</f>
        <v>#REF!</v>
      </c>
      <c r="AG27" s="118" t="e">
        <f>ROUND(IPMT($U$32/12,AG$24+12,$U$33*12,-#REF!),0)</f>
        <v>#REF!</v>
      </c>
      <c r="AH27" s="118" t="e">
        <f>ROUND(IPMT($U$32/12,AH$24+12,$U$33*12,-#REF!),0)</f>
        <v>#REF!</v>
      </c>
      <c r="AI27" s="118" t="e">
        <f>ROUND(IPMT($U$32/12,AI$24+12,$U$33*12,-#REF!),0)</f>
        <v>#REF!</v>
      </c>
      <c r="AJ27" s="118" t="e">
        <f>ROUND(IPMT($U$32/12,AJ$24+12,$U$33*12,-#REF!),0)</f>
        <v>#REF!</v>
      </c>
      <c r="AL27" s="122" t="e">
        <f>SUM(Y27:AA27)</f>
        <v>#REF!</v>
      </c>
      <c r="AM27" s="122" t="e">
        <f>SUM(AB27:AD27)</f>
        <v>#REF!</v>
      </c>
      <c r="AN27" s="122" t="e">
        <f>SUM(AE27:AG27)</f>
        <v>#REF!</v>
      </c>
      <c r="AO27" s="122" t="e">
        <f>SUM(AH27:AJ27)</f>
        <v>#REF!</v>
      </c>
      <c r="AQ27" s="118" t="e">
        <f>SUM(Y27:AJ27)</f>
        <v>#REF!</v>
      </c>
    </row>
    <row r="28" spans="1:43" ht="12.75">
      <c r="A28" s="224" t="s">
        <v>100</v>
      </c>
      <c r="B28" s="245">
        <f>+'1st year Income stmt'!B20</f>
        <v>480</v>
      </c>
      <c r="C28" s="245">
        <f>+'1st year Income stmt'!C20</f>
        <v>476</v>
      </c>
      <c r="D28" s="245">
        <f>+'Pmt Schedule'!D12</f>
        <v>472</v>
      </c>
      <c r="E28" s="245">
        <f>+'1st year Income stmt'!E20</f>
        <v>468</v>
      </c>
      <c r="F28" s="245">
        <f>+'1st year Income stmt'!F20</f>
        <v>463</v>
      </c>
      <c r="G28" s="245">
        <f>+'1st year Income stmt'!G20</f>
        <v>459</v>
      </c>
      <c r="H28" s="245">
        <f>+'1st year Income stmt'!H20</f>
        <v>454</v>
      </c>
      <c r="I28" s="245">
        <f>+'1st year Income stmt'!I20</f>
        <v>450</v>
      </c>
      <c r="J28" s="245">
        <f>+'1st year Income stmt'!J20</f>
        <v>445</v>
      </c>
      <c r="K28" s="245">
        <f>+'1st year Income stmt'!K20</f>
        <v>441</v>
      </c>
      <c r="L28" s="245">
        <f>+'1st year Income stmt'!L20</f>
        <v>436</v>
      </c>
      <c r="M28" s="245">
        <f>+'1st year Income stmt'!M20</f>
        <v>432</v>
      </c>
      <c r="N28" s="243">
        <f t="shared" si="4"/>
        <v>5476</v>
      </c>
      <c r="O28" s="93"/>
      <c r="P28" s="1" t="s">
        <v>93</v>
      </c>
      <c r="S28"/>
      <c r="T28"/>
      <c r="U28"/>
      <c r="X28" s="1">
        <v>3</v>
      </c>
      <c r="Y28" s="118" t="e">
        <f>ROUND(IPMT($U$32/12,Y$24+24,$U$33*12,-#REF!),0)</f>
        <v>#REF!</v>
      </c>
      <c r="Z28" s="118" t="e">
        <f>ROUND(IPMT($U$32/12,Z$24+24,$U$33*12,-#REF!),0)</f>
        <v>#REF!</v>
      </c>
      <c r="AA28" s="118" t="e">
        <f>ROUND(IPMT($U$32/12,AA$24+24,$U$33*12,-#REF!),0)</f>
        <v>#REF!</v>
      </c>
      <c r="AB28" s="118" t="e">
        <f>ROUND(IPMT($U$32/12,AB$24+24,$U$33*12,-#REF!),0)</f>
        <v>#REF!</v>
      </c>
      <c r="AC28" s="118" t="e">
        <f>ROUND(IPMT($U$32/12,AC$24+24,$U$33*12,-#REF!),0)</f>
        <v>#REF!</v>
      </c>
      <c r="AD28" s="118" t="e">
        <f>ROUND(IPMT($U$32/12,AD$24+24,$U$33*12,-#REF!),0)</f>
        <v>#REF!</v>
      </c>
      <c r="AE28" s="118" t="e">
        <f>ROUND(IPMT($U$32/12,AE$24+24,$U$33*12,-#REF!),0)</f>
        <v>#REF!</v>
      </c>
      <c r="AF28" s="118" t="e">
        <f>ROUND(IPMT($U$32/12,AF$24+24,$U$33*12,-#REF!),0)</f>
        <v>#REF!</v>
      </c>
      <c r="AG28" s="118" t="e">
        <f>ROUND(IPMT($U$32/12,AG$24+24,$U$33*12,-#REF!),0)</f>
        <v>#REF!</v>
      </c>
      <c r="AH28" s="118" t="e">
        <f>ROUND(IPMT($U$32/12,AH$24+24,$U$33*12,-#REF!),0)</f>
        <v>#REF!</v>
      </c>
      <c r="AI28" s="118" t="e">
        <f>ROUND(IPMT($U$32/12,AI$24+24,$U$33*12,-#REF!),0)</f>
        <v>#REF!</v>
      </c>
      <c r="AJ28" s="118" t="e">
        <f>ROUND(IPMT($U$32/12,AJ$24+24,$U$33*12,-#REF!),0)</f>
        <v>#REF!</v>
      </c>
      <c r="AL28" s="122" t="e">
        <f>SUM(Y28:AA28)</f>
        <v>#REF!</v>
      </c>
      <c r="AM28" s="122" t="e">
        <f>SUM(AB28:AD28)</f>
        <v>#REF!</v>
      </c>
      <c r="AN28" s="122" t="e">
        <f>SUM(AE28:AG28)</f>
        <v>#REF!</v>
      </c>
      <c r="AO28" s="122" t="e">
        <f>SUM(AH28:AJ28)</f>
        <v>#REF!</v>
      </c>
      <c r="AQ28" s="118" t="e">
        <f>SUM(Y28:AJ28)</f>
        <v>#REF!</v>
      </c>
    </row>
    <row r="29" spans="1:43" ht="12.75">
      <c r="A29" s="225" t="s">
        <v>166</v>
      </c>
      <c r="B29" s="242">
        <v>0</v>
      </c>
      <c r="C29" s="242">
        <v>0</v>
      </c>
      <c r="D29" s="242">
        <v>0</v>
      </c>
      <c r="E29" s="242">
        <v>0</v>
      </c>
      <c r="F29" s="242">
        <v>0</v>
      </c>
      <c r="G29" s="242">
        <v>0</v>
      </c>
      <c r="H29" s="242">
        <v>0</v>
      </c>
      <c r="I29" s="242">
        <v>0</v>
      </c>
      <c r="J29" s="242">
        <v>0</v>
      </c>
      <c r="K29" s="242">
        <v>0</v>
      </c>
      <c r="L29" s="242">
        <v>0</v>
      </c>
      <c r="M29" s="242">
        <v>0</v>
      </c>
      <c r="N29" s="243">
        <f t="shared" si="4"/>
        <v>0</v>
      </c>
      <c r="O29" s="93"/>
      <c r="S29"/>
      <c r="T29"/>
      <c r="U29"/>
      <c r="Y29" s="118"/>
      <c r="Z29" s="118"/>
      <c r="AA29" s="118"/>
      <c r="AB29" s="118"/>
      <c r="AC29" s="118"/>
      <c r="AD29" s="118"/>
      <c r="AE29" s="118"/>
      <c r="AF29" s="118"/>
      <c r="AG29" s="118"/>
      <c r="AH29" s="118"/>
      <c r="AI29" s="118"/>
      <c r="AJ29" s="118"/>
      <c r="AL29" s="122"/>
      <c r="AM29" s="122"/>
      <c r="AN29" s="122"/>
      <c r="AO29" s="122"/>
      <c r="AQ29" s="118"/>
    </row>
    <row r="30" spans="1:43" ht="12.75">
      <c r="A30" s="225" t="s">
        <v>304</v>
      </c>
      <c r="B30" s="242">
        <v>0</v>
      </c>
      <c r="C30" s="242">
        <v>0</v>
      </c>
      <c r="D30" s="242">
        <v>0</v>
      </c>
      <c r="E30" s="242">
        <v>0</v>
      </c>
      <c r="F30" s="242">
        <v>0</v>
      </c>
      <c r="G30" s="242">
        <v>0</v>
      </c>
      <c r="H30" s="242">
        <v>0</v>
      </c>
      <c r="I30" s="242">
        <v>0</v>
      </c>
      <c r="J30" s="242">
        <v>0</v>
      </c>
      <c r="K30" s="242">
        <v>0</v>
      </c>
      <c r="L30" s="242">
        <v>0</v>
      </c>
      <c r="M30" s="242">
        <v>0</v>
      </c>
      <c r="N30" s="243">
        <f t="shared" si="4"/>
        <v>0</v>
      </c>
      <c r="O30" s="93"/>
      <c r="S30"/>
      <c r="T30"/>
      <c r="U30"/>
      <c r="Y30" s="118"/>
      <c r="Z30" s="118"/>
      <c r="AA30" s="118"/>
      <c r="AB30" s="118"/>
      <c r="AC30" s="118"/>
      <c r="AD30" s="118"/>
      <c r="AE30" s="118"/>
      <c r="AF30" s="118"/>
      <c r="AG30" s="118"/>
      <c r="AH30" s="118"/>
      <c r="AI30" s="118"/>
      <c r="AJ30" s="118"/>
      <c r="AL30" s="122"/>
      <c r="AM30" s="122"/>
      <c r="AN30" s="122"/>
      <c r="AO30" s="122"/>
      <c r="AQ30" s="118"/>
    </row>
    <row r="31" spans="1:43" ht="12.75">
      <c r="A31" s="225" t="s">
        <v>200</v>
      </c>
      <c r="B31" s="248">
        <v>0</v>
      </c>
      <c r="C31" s="248">
        <v>0</v>
      </c>
      <c r="D31" s="248">
        <v>0</v>
      </c>
      <c r="E31" s="248">
        <v>0</v>
      </c>
      <c r="F31" s="248">
        <v>0</v>
      </c>
      <c r="G31" s="248">
        <v>0</v>
      </c>
      <c r="H31" s="248">
        <v>0</v>
      </c>
      <c r="I31" s="248">
        <v>0</v>
      </c>
      <c r="J31" s="248">
        <v>0</v>
      </c>
      <c r="K31" s="248">
        <v>0</v>
      </c>
      <c r="L31" s="248">
        <v>0</v>
      </c>
      <c r="M31" s="248">
        <v>0</v>
      </c>
      <c r="N31" s="243">
        <f t="shared" si="4"/>
        <v>0</v>
      </c>
      <c r="O31" s="93"/>
      <c r="S31"/>
      <c r="T31"/>
      <c r="U31"/>
      <c r="X31" s="1">
        <v>4</v>
      </c>
      <c r="Y31" s="118" t="e">
        <f>ROUND(IPMT($U$32/12,Y$24+36,$U$33*12,-#REF!),0)</f>
        <v>#REF!</v>
      </c>
      <c r="Z31" s="118" t="e">
        <f>ROUND(IPMT($U$32/12,Z$24+36,$U$33*12,-#REF!),0)</f>
        <v>#REF!</v>
      </c>
      <c r="AA31" s="118" t="e">
        <f>ROUND(IPMT($U$32/12,AA$24+36,$U$33*12,-#REF!),0)</f>
        <v>#REF!</v>
      </c>
      <c r="AB31" s="118" t="e">
        <f>ROUND(IPMT($U$32/12,AB$24+36,$U$33*12,-#REF!),0)</f>
        <v>#REF!</v>
      </c>
      <c r="AC31" s="118" t="e">
        <f>ROUND(IPMT($U$32/12,AC$24+36,$U$33*12,-#REF!),0)</f>
        <v>#REF!</v>
      </c>
      <c r="AD31" s="118" t="e">
        <f>ROUND(IPMT($U$32/12,AD$24+36,$U$33*12,-#REF!),0)</f>
        <v>#REF!</v>
      </c>
      <c r="AE31" s="118" t="e">
        <f>ROUND(IPMT($U$32/12,AE$24+36,$U$33*12,-#REF!),0)</f>
        <v>#REF!</v>
      </c>
      <c r="AF31" s="118" t="e">
        <f>ROUND(IPMT($U$32/12,AF$24+36,$U$33*12,-#REF!),0)</f>
        <v>#REF!</v>
      </c>
      <c r="AG31" s="118" t="e">
        <f>ROUND(IPMT($U$32/12,AG$24+36,$U$33*12,-#REF!),0)</f>
        <v>#REF!</v>
      </c>
      <c r="AH31" s="118" t="e">
        <f>ROUND(IPMT($U$32/12,AH$24+36,$U$33*12,-#REF!),0)</f>
        <v>#REF!</v>
      </c>
      <c r="AI31" s="118" t="e">
        <f>ROUND(IPMT($U$32/12,AI$24+36,$U$33*12,-#REF!),0)</f>
        <v>#REF!</v>
      </c>
      <c r="AJ31" s="118" t="e">
        <f>ROUND(IPMT($U$32/12,AJ$24+36,$U$33*12,-#REF!),0)</f>
        <v>#REF!</v>
      </c>
      <c r="AL31" s="122" t="e">
        <f>SUM(Y31:AA31)</f>
        <v>#REF!</v>
      </c>
      <c r="AM31" s="122" t="e">
        <f>SUM(AB31:AD31)</f>
        <v>#REF!</v>
      </c>
      <c r="AN31" s="122" t="e">
        <f>SUM(AE31:AG31)</f>
        <v>#REF!</v>
      </c>
      <c r="AO31" s="122" t="e">
        <f>SUM(AH31:AJ31)</f>
        <v>#REF!</v>
      </c>
      <c r="AQ31" s="118" t="e">
        <f>SUM(Y31:AJ31)</f>
        <v>#REF!</v>
      </c>
    </row>
    <row r="32" spans="1:43" ht="12.75">
      <c r="A32" s="225" t="s">
        <v>54</v>
      </c>
      <c r="B32" s="248">
        <v>1000</v>
      </c>
      <c r="C32" s="248">
        <v>1000</v>
      </c>
      <c r="D32" s="248">
        <v>1000</v>
      </c>
      <c r="E32" s="248">
        <v>1000</v>
      </c>
      <c r="F32" s="248">
        <v>1000</v>
      </c>
      <c r="G32" s="248">
        <v>1000</v>
      </c>
      <c r="H32" s="248">
        <v>1000</v>
      </c>
      <c r="I32" s="248">
        <v>1000</v>
      </c>
      <c r="J32" s="248">
        <v>1000</v>
      </c>
      <c r="K32" s="248">
        <v>1000</v>
      </c>
      <c r="L32" s="248">
        <v>1000</v>
      </c>
      <c r="M32" s="248">
        <v>1000</v>
      </c>
      <c r="N32" s="243">
        <f t="shared" si="4"/>
        <v>12000</v>
      </c>
      <c r="O32" s="93"/>
      <c r="S32"/>
      <c r="T32"/>
      <c r="U32"/>
      <c r="X32" s="1">
        <v>5</v>
      </c>
      <c r="Y32" s="118" t="e">
        <f>ROUND(IPMT($U$32/12,Y$24+48,$U$33*12,-#REF!),0)</f>
        <v>#REF!</v>
      </c>
      <c r="Z32" s="118" t="e">
        <f>ROUND(IPMT($U$32/12,Z$24+48,$U$33*12,-#REF!),0)</f>
        <v>#REF!</v>
      </c>
      <c r="AA32" s="118" t="e">
        <f>ROUND(IPMT($U$32/12,AA$24+48,$U$33*12,-#REF!),0)</f>
        <v>#REF!</v>
      </c>
      <c r="AB32" s="118" t="e">
        <f>ROUND(IPMT($U$32/12,AB$24+48,$U$33*12,-#REF!),0)</f>
        <v>#REF!</v>
      </c>
      <c r="AC32" s="118" t="e">
        <f>ROUND(IPMT($U$32/12,AC$24+48,$U$33*12,-#REF!),0)</f>
        <v>#REF!</v>
      </c>
      <c r="AD32" s="118" t="e">
        <f>ROUND(IPMT($U$32/12,AD$24+48,$U$33*12,-#REF!),0)</f>
        <v>#REF!</v>
      </c>
      <c r="AE32" s="118" t="e">
        <f>ROUND(IPMT($U$32/12,AE$24+48,$U$33*12,-#REF!),0)</f>
        <v>#REF!</v>
      </c>
      <c r="AF32" s="118" t="e">
        <f>ROUND(IPMT($U$32/12,AF$24+48,$U$33*12,-#REF!),0)</f>
        <v>#REF!</v>
      </c>
      <c r="AG32" s="118" t="e">
        <f>ROUND(IPMT($U$32/12,AG$24+48,$U$33*12,-#REF!),0)</f>
        <v>#REF!</v>
      </c>
      <c r="AH32" s="118" t="e">
        <f>ROUND(IPMT($U$32/12,AH$24+48,$U$33*12,-#REF!),0)</f>
        <v>#REF!</v>
      </c>
      <c r="AI32" s="118" t="e">
        <f>ROUND(IPMT($U$32/12,AI$24+48,$U$33*12,-#REF!),0)</f>
        <v>#REF!</v>
      </c>
      <c r="AJ32" s="118" t="e">
        <f>ROUND(IPMT($U$32/12,AJ$24+48,$U$33*12,-#REF!),0)</f>
        <v>#REF!</v>
      </c>
      <c r="AL32" s="122" t="e">
        <f>SUM(Y32:AA32)</f>
        <v>#REF!</v>
      </c>
      <c r="AM32" s="122" t="e">
        <f>SUM(AB32:AD32)</f>
        <v>#REF!</v>
      </c>
      <c r="AN32" s="122" t="e">
        <f>SUM(AE32:AG32)</f>
        <v>#REF!</v>
      </c>
      <c r="AO32" s="122" t="e">
        <f>SUM(AH32:AJ32)</f>
        <v>#REF!</v>
      </c>
      <c r="AQ32" s="118" t="e">
        <f>SUM(Y32:AJ32)</f>
        <v>#REF!</v>
      </c>
    </row>
    <row r="33" spans="1:21" ht="12.75">
      <c r="A33" s="221" t="s">
        <v>301</v>
      </c>
      <c r="B33" s="343">
        <f>SUM(B23:B32)</f>
        <v>16474.2</v>
      </c>
      <c r="C33" s="343">
        <f>SUM(C23:C32)</f>
        <v>16475</v>
      </c>
      <c r="D33" s="343">
        <f aca="true" t="shared" si="8" ref="D33:M33">SUM(D23:D32)</f>
        <v>16475.8</v>
      </c>
      <c r="E33" s="343">
        <f t="shared" si="8"/>
        <v>16476.6</v>
      </c>
      <c r="F33" s="343">
        <f t="shared" si="8"/>
        <v>16477.6</v>
      </c>
      <c r="G33" s="343">
        <f t="shared" si="8"/>
        <v>16478.4</v>
      </c>
      <c r="H33" s="343">
        <f t="shared" si="8"/>
        <v>16479.4</v>
      </c>
      <c r="I33" s="343">
        <f t="shared" si="8"/>
        <v>16480.2</v>
      </c>
      <c r="J33" s="343">
        <f t="shared" si="8"/>
        <v>16481.2</v>
      </c>
      <c r="K33" s="343">
        <f t="shared" si="8"/>
        <v>16482</v>
      </c>
      <c r="L33" s="343">
        <f t="shared" si="8"/>
        <v>16483</v>
      </c>
      <c r="M33" s="343">
        <f t="shared" si="8"/>
        <v>16487</v>
      </c>
      <c r="N33" s="344">
        <f>SUM(B33:M33)</f>
        <v>197750.40000000002</v>
      </c>
      <c r="O33" s="93"/>
      <c r="S33"/>
      <c r="T33"/>
      <c r="U33"/>
    </row>
    <row r="34" spans="1:21" ht="12.75">
      <c r="A34" s="221" t="s">
        <v>302</v>
      </c>
      <c r="B34" s="334">
        <f aca="true" t="shared" si="9" ref="B34:N34">B17-B33</f>
        <v>1442.7999999999993</v>
      </c>
      <c r="C34" s="335">
        <f t="shared" si="9"/>
        <v>1442</v>
      </c>
      <c r="D34" s="335">
        <f t="shared" si="9"/>
        <v>1441.2000000000007</v>
      </c>
      <c r="E34" s="335">
        <f t="shared" si="9"/>
        <v>1440.4000000000015</v>
      </c>
      <c r="F34" s="335">
        <f t="shared" si="9"/>
        <v>1439.4000000000015</v>
      </c>
      <c r="G34" s="335">
        <f t="shared" si="9"/>
        <v>1438.5999999999985</v>
      </c>
      <c r="H34" s="335">
        <f t="shared" si="9"/>
        <v>1437.5999999999985</v>
      </c>
      <c r="I34" s="335">
        <f t="shared" si="9"/>
        <v>1436.7999999999993</v>
      </c>
      <c r="J34" s="335">
        <f t="shared" si="9"/>
        <v>1435.7999999999993</v>
      </c>
      <c r="K34" s="335">
        <f t="shared" si="9"/>
        <v>1435</v>
      </c>
      <c r="L34" s="335">
        <f t="shared" si="9"/>
        <v>1434</v>
      </c>
      <c r="M34" s="335">
        <f t="shared" si="9"/>
        <v>1430</v>
      </c>
      <c r="N34" s="330">
        <f t="shared" si="9"/>
        <v>17253.599999999977</v>
      </c>
      <c r="O34" s="93"/>
      <c r="S34"/>
      <c r="T34"/>
      <c r="U34"/>
    </row>
    <row r="35" spans="1:21" ht="12.75">
      <c r="A35" s="221"/>
      <c r="B35" s="245"/>
      <c r="C35" s="245"/>
      <c r="D35" s="245"/>
      <c r="E35" s="245"/>
      <c r="F35" s="245"/>
      <c r="G35" s="245"/>
      <c r="H35" s="245"/>
      <c r="I35" s="245"/>
      <c r="J35" s="245"/>
      <c r="K35" s="245"/>
      <c r="L35" s="245"/>
      <c r="M35" s="245"/>
      <c r="N35" s="243"/>
      <c r="O35" s="93"/>
      <c r="S35"/>
      <c r="T35"/>
      <c r="U35"/>
    </row>
    <row r="36" spans="1:21" ht="12.75">
      <c r="A36" s="224" t="s">
        <v>57</v>
      </c>
      <c r="B36" s="245">
        <f>'B Balance sheet'!C9</f>
        <v>20000</v>
      </c>
      <c r="C36" s="245">
        <f aca="true" t="shared" si="10" ref="C36:M36">B39</f>
        <v>21442.8</v>
      </c>
      <c r="D36" s="245">
        <f t="shared" si="10"/>
        <v>22884.800000000003</v>
      </c>
      <c r="E36" s="245">
        <f t="shared" si="10"/>
        <v>24326.000000000004</v>
      </c>
      <c r="F36" s="245">
        <f t="shared" si="10"/>
        <v>25766.4</v>
      </c>
      <c r="G36" s="245">
        <f t="shared" si="10"/>
        <v>27205.800000000003</v>
      </c>
      <c r="H36" s="245">
        <f t="shared" si="10"/>
        <v>28644.4</v>
      </c>
      <c r="I36" s="245">
        <f t="shared" si="10"/>
        <v>30082</v>
      </c>
      <c r="J36" s="245">
        <f t="shared" si="10"/>
        <v>31518.8</v>
      </c>
      <c r="K36" s="245">
        <f t="shared" si="10"/>
        <v>32954.600000000006</v>
      </c>
      <c r="L36" s="245">
        <f t="shared" si="10"/>
        <v>34389.600000000006</v>
      </c>
      <c r="M36" s="245">
        <f t="shared" si="10"/>
        <v>35823.600000000006</v>
      </c>
      <c r="N36" s="243">
        <f>B36</f>
        <v>20000</v>
      </c>
      <c r="O36" s="93"/>
      <c r="S36"/>
      <c r="T36"/>
      <c r="U36"/>
    </row>
    <row r="37" spans="1:15" ht="12.75">
      <c r="A37" s="224" t="s">
        <v>41</v>
      </c>
      <c r="B37" s="245">
        <f aca="true" t="shared" si="11" ref="B37:N37">B17</f>
        <v>17917</v>
      </c>
      <c r="C37" s="245">
        <f t="shared" si="11"/>
        <v>17917</v>
      </c>
      <c r="D37" s="245">
        <f t="shared" si="11"/>
        <v>17917</v>
      </c>
      <c r="E37" s="245">
        <f t="shared" si="11"/>
        <v>17917</v>
      </c>
      <c r="F37" s="245">
        <f t="shared" si="11"/>
        <v>17917</v>
      </c>
      <c r="G37" s="245">
        <f t="shared" si="11"/>
        <v>17917</v>
      </c>
      <c r="H37" s="245">
        <f t="shared" si="11"/>
        <v>17917</v>
      </c>
      <c r="I37" s="245">
        <f t="shared" si="11"/>
        <v>17917</v>
      </c>
      <c r="J37" s="245">
        <f t="shared" si="11"/>
        <v>17917</v>
      </c>
      <c r="K37" s="245">
        <f t="shared" si="11"/>
        <v>17917</v>
      </c>
      <c r="L37" s="245">
        <f t="shared" si="11"/>
        <v>17917</v>
      </c>
      <c r="M37" s="245">
        <f t="shared" si="11"/>
        <v>17917</v>
      </c>
      <c r="N37" s="243">
        <f t="shared" si="11"/>
        <v>215004</v>
      </c>
      <c r="O37" s="93"/>
    </row>
    <row r="38" spans="1:15" ht="12.75">
      <c r="A38" s="224" t="s">
        <v>78</v>
      </c>
      <c r="B38" s="245">
        <f aca="true" t="shared" si="12" ref="B38:N38">B33</f>
        <v>16474.2</v>
      </c>
      <c r="C38" s="245">
        <f t="shared" si="12"/>
        <v>16475</v>
      </c>
      <c r="D38" s="245">
        <f t="shared" si="12"/>
        <v>16475.8</v>
      </c>
      <c r="E38" s="245">
        <f t="shared" si="12"/>
        <v>16476.6</v>
      </c>
      <c r="F38" s="245">
        <f t="shared" si="12"/>
        <v>16477.6</v>
      </c>
      <c r="G38" s="245">
        <f t="shared" si="12"/>
        <v>16478.4</v>
      </c>
      <c r="H38" s="245">
        <f t="shared" si="12"/>
        <v>16479.4</v>
      </c>
      <c r="I38" s="245">
        <f t="shared" si="12"/>
        <v>16480.2</v>
      </c>
      <c r="J38" s="245">
        <f t="shared" si="12"/>
        <v>16481.2</v>
      </c>
      <c r="K38" s="245">
        <f t="shared" si="12"/>
        <v>16482</v>
      </c>
      <c r="L38" s="245">
        <f t="shared" si="12"/>
        <v>16483</v>
      </c>
      <c r="M38" s="245">
        <f t="shared" si="12"/>
        <v>16487</v>
      </c>
      <c r="N38" s="243">
        <f t="shared" si="12"/>
        <v>197750.40000000002</v>
      </c>
      <c r="O38" s="93"/>
    </row>
    <row r="39" spans="1:15" ht="12.75">
      <c r="A39" s="226" t="s">
        <v>58</v>
      </c>
      <c r="B39" s="345">
        <f aca="true" t="shared" si="13" ref="B39:N39">B36+B37-B38</f>
        <v>21442.8</v>
      </c>
      <c r="C39" s="345">
        <f t="shared" si="13"/>
        <v>22884.800000000003</v>
      </c>
      <c r="D39" s="345">
        <f t="shared" si="13"/>
        <v>24326.000000000004</v>
      </c>
      <c r="E39" s="345">
        <f t="shared" si="13"/>
        <v>25766.4</v>
      </c>
      <c r="F39" s="345">
        <f t="shared" si="13"/>
        <v>27205.800000000003</v>
      </c>
      <c r="G39" s="345">
        <f t="shared" si="13"/>
        <v>28644.4</v>
      </c>
      <c r="H39" s="345">
        <f t="shared" si="13"/>
        <v>30082</v>
      </c>
      <c r="I39" s="345">
        <f t="shared" si="13"/>
        <v>31518.8</v>
      </c>
      <c r="J39" s="345">
        <f t="shared" si="13"/>
        <v>32954.600000000006</v>
      </c>
      <c r="K39" s="345">
        <f t="shared" si="13"/>
        <v>34389.600000000006</v>
      </c>
      <c r="L39" s="345">
        <f t="shared" si="13"/>
        <v>35823.600000000006</v>
      </c>
      <c r="M39" s="345">
        <f t="shared" si="13"/>
        <v>37253.600000000006</v>
      </c>
      <c r="N39" s="346">
        <f t="shared" si="13"/>
        <v>37253.59999999998</v>
      </c>
      <c r="O39" s="93"/>
    </row>
    <row r="40" spans="1:15" ht="12.75">
      <c r="A40" s="4"/>
      <c r="B40" s="12"/>
      <c r="C40" s="12"/>
      <c r="D40" s="12"/>
      <c r="E40" s="12"/>
      <c r="F40" s="12"/>
      <c r="G40" s="12"/>
      <c r="H40" s="12"/>
      <c r="I40" s="12"/>
      <c r="J40" s="12"/>
      <c r="K40" s="12"/>
      <c r="L40" s="12"/>
      <c r="M40" s="12"/>
      <c r="N40" s="12"/>
      <c r="O40" s="95"/>
    </row>
    <row r="41" spans="1:15" ht="12.75">
      <c r="A41" s="135" t="s">
        <v>103</v>
      </c>
      <c r="B41" s="1"/>
      <c r="C41" s="12"/>
      <c r="D41" s="12"/>
      <c r="E41" s="12"/>
      <c r="F41" s="12"/>
      <c r="G41" s="12"/>
      <c r="H41" s="12"/>
      <c r="I41" s="12"/>
      <c r="J41" s="12"/>
      <c r="K41" s="12"/>
      <c r="L41" s="12"/>
      <c r="M41" s="12"/>
      <c r="N41" s="12"/>
      <c r="O41" s="95"/>
    </row>
    <row r="42" spans="1:4" ht="12.75">
      <c r="A42" s="4" t="s">
        <v>75</v>
      </c>
      <c r="D42" s="177">
        <v>0</v>
      </c>
    </row>
    <row r="43" spans="1:5" ht="12.75">
      <c r="A43" s="1" t="s">
        <v>203</v>
      </c>
      <c r="D43" s="209">
        <v>0</v>
      </c>
      <c r="E43" s="14" t="s">
        <v>93</v>
      </c>
    </row>
    <row r="44" spans="1:4" ht="12.75">
      <c r="A44" s="1" t="s">
        <v>313</v>
      </c>
      <c r="D44" s="305">
        <v>0</v>
      </c>
    </row>
    <row r="45" spans="1:4" ht="12.75">
      <c r="A45" s="1" t="s">
        <v>314</v>
      </c>
      <c r="D45" s="209">
        <v>0</v>
      </c>
    </row>
  </sheetData>
  <mergeCells count="4">
    <mergeCell ref="A2:N2"/>
    <mergeCell ref="A3:N3"/>
    <mergeCell ref="A4:N4"/>
    <mergeCell ref="A5:N5"/>
  </mergeCells>
  <printOptions/>
  <pageMargins left="0.97" right="0.46" top="0.26" bottom="1" header="0.4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10:C10 D10:M10" unlockedFormula="1"/>
  </ignoredErrors>
</worksheet>
</file>

<file path=xl/worksheets/sheet7.xml><?xml version="1.0" encoding="utf-8"?>
<worksheet xmlns="http://schemas.openxmlformats.org/spreadsheetml/2006/main" xmlns:r="http://schemas.openxmlformats.org/officeDocument/2006/relationships">
  <sheetPr codeName="Sheet22"/>
  <dimension ref="A1:M69"/>
  <sheetViews>
    <sheetView tabSelected="1" workbookViewId="0" topLeftCell="A1">
      <selection activeCell="I26" sqref="I26"/>
    </sheetView>
  </sheetViews>
  <sheetFormatPr defaultColWidth="9.140625" defaultRowHeight="12.75"/>
  <cols>
    <col min="1" max="1" width="12.7109375" style="0" bestFit="1" customWidth="1"/>
    <col min="7" max="7" width="10.140625" style="0" customWidth="1"/>
    <col min="8" max="8" width="5.421875" style="0" customWidth="1"/>
    <col min="9" max="9" width="10.8515625" style="0" customWidth="1"/>
    <col min="10" max="10" width="9.57421875" style="0" hidden="1" customWidth="1"/>
    <col min="11" max="13" width="9.140625" style="0" hidden="1" customWidth="1"/>
  </cols>
  <sheetData>
    <row r="1" spans="1:13" ht="13.5" thickBot="1">
      <c r="A1" s="1"/>
      <c r="B1" s="14"/>
      <c r="C1" s="14"/>
      <c r="D1" s="14"/>
      <c r="E1" s="14"/>
      <c r="F1" s="14"/>
      <c r="G1" s="14"/>
      <c r="H1" s="14"/>
      <c r="I1" s="14"/>
      <c r="J1" s="14"/>
      <c r="K1" s="14"/>
      <c r="L1" s="14"/>
      <c r="M1" s="14"/>
    </row>
    <row r="2" spans="1:13" ht="15.75">
      <c r="A2" s="289" t="str">
        <f>'B Balance sheet'!A1</f>
        <v>Speedy B's LLC - NEW</v>
      </c>
      <c r="B2" s="290"/>
      <c r="C2" s="290"/>
      <c r="D2" s="290"/>
      <c r="E2" s="290"/>
      <c r="F2" s="290"/>
      <c r="G2" s="290"/>
      <c r="H2" s="290"/>
      <c r="I2" s="291"/>
      <c r="J2" s="269"/>
      <c r="K2" s="269"/>
      <c r="L2" s="269"/>
      <c r="M2" s="270"/>
    </row>
    <row r="3" spans="1:13" ht="15.75">
      <c r="A3" s="292" t="s">
        <v>144</v>
      </c>
      <c r="B3" s="271"/>
      <c r="C3" s="271"/>
      <c r="D3" s="271"/>
      <c r="E3" s="271"/>
      <c r="F3" s="271"/>
      <c r="G3" s="271"/>
      <c r="H3" s="271"/>
      <c r="I3" s="293"/>
      <c r="J3" s="271"/>
      <c r="K3" s="271"/>
      <c r="L3" s="271"/>
      <c r="M3" s="272"/>
    </row>
    <row r="4" spans="1:13" ht="15.75">
      <c r="A4" s="292" t="str">
        <f>+'1st year Income stmt'!A3:N3</f>
        <v>For Year Ending</v>
      </c>
      <c r="B4" s="271"/>
      <c r="C4" s="271"/>
      <c r="D4" s="271"/>
      <c r="E4" s="271"/>
      <c r="F4" s="271"/>
      <c r="G4" s="271"/>
      <c r="H4" s="271"/>
      <c r="I4" s="293"/>
      <c r="J4" s="271"/>
      <c r="K4" s="271"/>
      <c r="L4" s="271"/>
      <c r="M4" s="272"/>
    </row>
    <row r="5" spans="1:13" ht="15.75">
      <c r="A5" s="294">
        <f>+'1st year Income stmt'!A4:N4</f>
        <v>39325</v>
      </c>
      <c r="B5" s="258"/>
      <c r="C5" s="258"/>
      <c r="D5" s="258"/>
      <c r="E5" s="258"/>
      <c r="F5" s="258"/>
      <c r="G5" s="258"/>
      <c r="H5" s="258"/>
      <c r="I5" s="295"/>
      <c r="J5" s="267"/>
      <c r="K5" s="267"/>
      <c r="L5" s="267"/>
      <c r="M5" s="268"/>
    </row>
    <row r="6" spans="1:13" ht="12.75">
      <c r="A6" s="277"/>
      <c r="B6" s="273"/>
      <c r="C6" s="273"/>
      <c r="D6" s="273"/>
      <c r="E6" s="273"/>
      <c r="F6" s="273"/>
      <c r="G6" s="273"/>
      <c r="H6" s="273"/>
      <c r="I6" s="296"/>
      <c r="J6" s="273"/>
      <c r="K6" s="273"/>
      <c r="L6" s="273"/>
      <c r="M6" s="274"/>
    </row>
    <row r="7" spans="1:13" ht="12.75">
      <c r="A7" s="297" t="s">
        <v>143</v>
      </c>
      <c r="B7" s="275"/>
      <c r="C7" s="276"/>
      <c r="D7" s="276"/>
      <c r="E7" s="276"/>
      <c r="F7" s="276"/>
      <c r="G7" s="276"/>
      <c r="H7" s="276"/>
      <c r="I7" s="347">
        <f>+'1st year Income stmt'!N6</f>
        <v>215004</v>
      </c>
      <c r="J7" s="273"/>
      <c r="K7" s="273"/>
      <c r="L7" s="273"/>
      <c r="M7" s="274"/>
    </row>
    <row r="8" spans="1:13" ht="12.75">
      <c r="A8" s="277"/>
      <c r="B8" s="273"/>
      <c r="C8" s="273"/>
      <c r="D8" s="273"/>
      <c r="E8" s="273"/>
      <c r="F8" s="273"/>
      <c r="G8" s="273"/>
      <c r="H8" s="273"/>
      <c r="I8" s="348"/>
      <c r="J8" s="273"/>
      <c r="K8" s="273"/>
      <c r="L8" s="273"/>
      <c r="M8" s="274"/>
    </row>
    <row r="9" spans="1:13" ht="12.75">
      <c r="A9" s="297" t="s">
        <v>163</v>
      </c>
      <c r="B9" s="275"/>
      <c r="C9" s="276"/>
      <c r="D9" s="273"/>
      <c r="E9" s="273"/>
      <c r="F9" s="273"/>
      <c r="G9" s="273"/>
      <c r="H9" s="273"/>
      <c r="I9" s="348"/>
      <c r="J9" s="273"/>
      <c r="K9" s="273"/>
      <c r="L9" s="273"/>
      <c r="M9" s="274"/>
    </row>
    <row r="10" spans="1:13" ht="12.75">
      <c r="A10" s="277" t="str">
        <f>+'1st year Income stmt'!A13</f>
        <v>Salary Expense</v>
      </c>
      <c r="B10" s="273"/>
      <c r="C10" s="273"/>
      <c r="D10" s="273"/>
      <c r="E10" s="273"/>
      <c r="F10" s="273"/>
      <c r="G10" s="273"/>
      <c r="H10" s="273"/>
      <c r="I10" s="348">
        <f>+'1st year Income stmt'!N13</f>
        <v>53592</v>
      </c>
      <c r="J10" s="273"/>
      <c r="K10" s="273"/>
      <c r="L10" s="273"/>
      <c r="M10" s="274"/>
    </row>
    <row r="11" spans="1:13" ht="12.75">
      <c r="A11" s="277" t="str">
        <f>+'1st year Income stmt'!A14</f>
        <v>Rent</v>
      </c>
      <c r="B11" s="273"/>
      <c r="C11" s="273"/>
      <c r="D11" s="273"/>
      <c r="E11" s="273"/>
      <c r="F11" s="273"/>
      <c r="G11" s="273"/>
      <c r="H11" s="273"/>
      <c r="I11" s="348">
        <f>+'1st year Income stmt'!N14</f>
        <v>7800</v>
      </c>
      <c r="J11" s="273"/>
      <c r="K11" s="273"/>
      <c r="L11" s="273"/>
      <c r="M11" s="274"/>
    </row>
    <row r="12" spans="1:13" ht="12.75">
      <c r="A12" s="63" t="str">
        <f>+'1st year Income stmt'!A15</f>
        <v>Payroll taxes</v>
      </c>
      <c r="B12" s="33"/>
      <c r="C12" s="33"/>
      <c r="D12" s="33"/>
      <c r="E12" s="33"/>
      <c r="F12" s="33"/>
      <c r="G12" s="33"/>
      <c r="H12" s="33"/>
      <c r="I12" s="70">
        <f>+'1st year Income stmt'!N15</f>
        <v>6240</v>
      </c>
      <c r="J12" s="33"/>
      <c r="K12" s="33"/>
      <c r="L12" s="33"/>
      <c r="M12" s="261"/>
    </row>
    <row r="13" spans="1:13" ht="12.75">
      <c r="A13" s="63" t="str">
        <f>+'1st year Income stmt'!A16</f>
        <v>Travel &amp; Enter.</v>
      </c>
      <c r="B13" s="33"/>
      <c r="C13" s="33"/>
      <c r="D13" s="33"/>
      <c r="E13" s="33"/>
      <c r="F13" s="33"/>
      <c r="G13" s="33"/>
      <c r="H13" s="33"/>
      <c r="I13" s="70">
        <f>+'1st year Income stmt'!N16</f>
        <v>1584</v>
      </c>
      <c r="J13" s="33"/>
      <c r="K13" s="33"/>
      <c r="L13" s="33"/>
      <c r="M13" s="261"/>
    </row>
    <row r="14" spans="1:13" ht="12.75">
      <c r="A14" s="63" t="str">
        <f>+'1st year Income stmt'!A17</f>
        <v>Prof. &amp; Acctg</v>
      </c>
      <c r="B14" s="33"/>
      <c r="C14" s="33"/>
      <c r="D14" s="33"/>
      <c r="E14" s="33"/>
      <c r="F14" s="33"/>
      <c r="G14" s="33"/>
      <c r="H14" s="33"/>
      <c r="I14" s="70">
        <f>+'1st year Income stmt'!N17</f>
        <v>300</v>
      </c>
      <c r="J14" s="33"/>
      <c r="K14" s="33"/>
      <c r="L14" s="33"/>
      <c r="M14" s="261"/>
    </row>
    <row r="15" spans="1:13" ht="12.75">
      <c r="A15" s="63" t="str">
        <f>+'1st year Income stmt'!A18</f>
        <v>Depreciation</v>
      </c>
      <c r="B15" s="33"/>
      <c r="C15" s="33"/>
      <c r="D15" s="33"/>
      <c r="E15" s="33"/>
      <c r="F15" s="33"/>
      <c r="G15" s="33"/>
      <c r="H15" s="33"/>
      <c r="I15" s="70">
        <f>+'1st year Income stmt'!N18</f>
        <v>11100</v>
      </c>
      <c r="J15" s="33"/>
      <c r="K15" s="33"/>
      <c r="L15" s="33"/>
      <c r="M15" s="261"/>
    </row>
    <row r="16" spans="1:13" ht="12.75">
      <c r="A16" s="63" t="str">
        <f>+'1st year Income stmt'!A19</f>
        <v>Insurance</v>
      </c>
      <c r="B16" s="33"/>
      <c r="C16" s="33"/>
      <c r="D16" s="33"/>
      <c r="E16" s="33"/>
      <c r="F16" s="33"/>
      <c r="G16" s="33"/>
      <c r="H16" s="33"/>
      <c r="I16" s="70">
        <f>+'1st year Income stmt'!N19</f>
        <v>4296</v>
      </c>
      <c r="J16" s="33"/>
      <c r="K16" s="33"/>
      <c r="L16" s="33"/>
      <c r="M16" s="261"/>
    </row>
    <row r="17" spans="1:13" ht="12.75">
      <c r="A17" s="63" t="str">
        <f>+'1st year Income stmt'!A20</f>
        <v>Interest</v>
      </c>
      <c r="B17" s="33"/>
      <c r="C17" s="33"/>
      <c r="D17" s="33"/>
      <c r="E17" s="33"/>
      <c r="F17" s="33"/>
      <c r="G17" s="33"/>
      <c r="H17" s="33"/>
      <c r="I17" s="70">
        <f>+'1st year Income stmt'!N20</f>
        <v>5476</v>
      </c>
      <c r="J17" s="33"/>
      <c r="K17" s="33"/>
      <c r="L17" s="33"/>
      <c r="M17" s="261"/>
    </row>
    <row r="18" spans="1:13" ht="12.75">
      <c r="A18" s="63" t="str">
        <f>+'1st year Income stmt'!A21</f>
        <v>Rep &amp; Maint.</v>
      </c>
      <c r="B18" s="33"/>
      <c r="C18" s="33"/>
      <c r="D18" s="33"/>
      <c r="E18" s="33"/>
      <c r="F18" s="33"/>
      <c r="G18" s="33"/>
      <c r="H18" s="33"/>
      <c r="I18" s="70">
        <f>+'1st year Income stmt'!N21</f>
        <v>1200</v>
      </c>
      <c r="J18" s="33"/>
      <c r="K18" s="33"/>
      <c r="L18" s="33"/>
      <c r="M18" s="261"/>
    </row>
    <row r="19" spans="1:13" ht="12.75">
      <c r="A19" s="63" t="str">
        <f>+'1st year Income stmt'!A22</f>
        <v>Util. &amp; Phone</v>
      </c>
      <c r="B19" s="33"/>
      <c r="C19" s="33"/>
      <c r="D19" s="33"/>
      <c r="E19" s="33"/>
      <c r="F19" s="33"/>
      <c r="G19" s="33"/>
      <c r="H19" s="33"/>
      <c r="I19" s="70">
        <f>+'1st year Income stmt'!N22</f>
        <v>9600</v>
      </c>
      <c r="J19" s="33"/>
      <c r="K19" s="33"/>
      <c r="L19" s="33"/>
      <c r="M19" s="261"/>
    </row>
    <row r="20" spans="1:13" ht="12.75">
      <c r="A20" s="63" t="str">
        <f>+'1st year Income stmt'!A23</f>
        <v>Office Supplies</v>
      </c>
      <c r="B20" s="33"/>
      <c r="C20" s="33"/>
      <c r="D20" s="33"/>
      <c r="E20" s="33"/>
      <c r="F20" s="33"/>
      <c r="G20" s="33"/>
      <c r="H20" s="33"/>
      <c r="I20" s="70">
        <f>+'1st year Income stmt'!N23</f>
        <v>1800</v>
      </c>
      <c r="J20" s="33"/>
      <c r="K20" s="33"/>
      <c r="L20" s="33"/>
      <c r="M20" s="261"/>
    </row>
    <row r="21" spans="1:13" ht="12.75">
      <c r="A21" s="63" t="str">
        <f>+'1st year Income stmt'!A24</f>
        <v>Other Taxes</v>
      </c>
      <c r="B21" s="33"/>
      <c r="C21" s="33"/>
      <c r="D21" s="33"/>
      <c r="E21" s="33"/>
      <c r="F21" s="33"/>
      <c r="G21" s="33"/>
      <c r="H21" s="33"/>
      <c r="I21" s="70">
        <f>+'1st year Income stmt'!N24</f>
        <v>0</v>
      </c>
      <c r="J21" s="33"/>
      <c r="K21" s="33"/>
      <c r="L21" s="33"/>
      <c r="M21" s="261"/>
    </row>
    <row r="22" spans="1:13" ht="12.75">
      <c r="A22" s="63" t="str">
        <f>+'1st year Income stmt'!A26</f>
        <v>Other Expense</v>
      </c>
      <c r="B22" s="33"/>
      <c r="C22" s="33"/>
      <c r="D22" s="33"/>
      <c r="E22" s="33"/>
      <c r="F22" s="33"/>
      <c r="G22" s="33"/>
      <c r="H22" s="33"/>
      <c r="I22" s="70">
        <f>+'1st year Income stmt'!N26</f>
        <v>3000</v>
      </c>
      <c r="J22" s="33"/>
      <c r="K22" s="33"/>
      <c r="L22" s="33"/>
      <c r="M22" s="261"/>
    </row>
    <row r="23" spans="1:13" ht="12.75">
      <c r="A23" s="63"/>
      <c r="B23" s="33"/>
      <c r="C23" s="33"/>
      <c r="D23" s="33"/>
      <c r="E23" s="33"/>
      <c r="F23" s="33"/>
      <c r="G23" s="33"/>
      <c r="H23" s="33"/>
      <c r="I23" s="70"/>
      <c r="J23" s="33"/>
      <c r="K23" s="33"/>
      <c r="L23" s="33"/>
      <c r="M23" s="261"/>
    </row>
    <row r="24" spans="1:13" ht="12.75">
      <c r="A24" s="260" t="s">
        <v>140</v>
      </c>
      <c r="B24" s="219"/>
      <c r="C24" s="163"/>
      <c r="D24" s="163"/>
      <c r="E24" s="163"/>
      <c r="F24" s="163"/>
      <c r="G24" s="163"/>
      <c r="H24" s="163"/>
      <c r="I24" s="349">
        <f>SUM(I10:I22)</f>
        <v>105988</v>
      </c>
      <c r="J24" s="33"/>
      <c r="K24" s="33"/>
      <c r="L24" s="33"/>
      <c r="M24" s="261"/>
    </row>
    <row r="25" spans="1:13" ht="12.75">
      <c r="A25" s="63"/>
      <c r="B25" s="33"/>
      <c r="C25" s="33"/>
      <c r="D25" s="33"/>
      <c r="E25" s="33"/>
      <c r="F25" s="33"/>
      <c r="G25" s="33"/>
      <c r="H25" s="33"/>
      <c r="I25" s="70"/>
      <c r="J25" s="33"/>
      <c r="K25" s="33"/>
      <c r="L25" s="33"/>
      <c r="M25" s="261"/>
    </row>
    <row r="26" spans="1:13" ht="12.75">
      <c r="A26" s="260" t="s">
        <v>141</v>
      </c>
      <c r="B26" s="219"/>
      <c r="C26" s="219"/>
      <c r="D26" s="163"/>
      <c r="E26" s="163"/>
      <c r="F26" s="163"/>
      <c r="G26" s="163"/>
      <c r="H26" s="163"/>
      <c r="I26" s="416">
        <f>+'1st year Income stmt'!N9/'1st year Income stmt'!N6</f>
        <v>0.34994697773064687</v>
      </c>
      <c r="J26" s="33"/>
      <c r="K26" s="33"/>
      <c r="L26" s="33"/>
      <c r="M26" s="261"/>
    </row>
    <row r="27" spans="1:13" ht="12.75">
      <c r="A27" s="63"/>
      <c r="B27" s="33"/>
      <c r="C27" s="33"/>
      <c r="D27" s="33"/>
      <c r="E27" s="33"/>
      <c r="F27" s="33"/>
      <c r="G27" s="33"/>
      <c r="H27" s="33"/>
      <c r="I27" s="70"/>
      <c r="J27" s="33"/>
      <c r="K27" s="33"/>
      <c r="L27" s="33"/>
      <c r="M27" s="261"/>
    </row>
    <row r="28" spans="1:13" ht="12.75">
      <c r="A28" s="266" t="s">
        <v>142</v>
      </c>
      <c r="B28" s="144"/>
      <c r="C28" s="144"/>
      <c r="D28" s="33"/>
      <c r="E28" s="33"/>
      <c r="F28" s="33"/>
      <c r="G28" s="33"/>
      <c r="H28" s="33"/>
      <c r="I28" s="70">
        <f>+I24+I7*I26</f>
        <v>181228</v>
      </c>
      <c r="J28" s="33"/>
      <c r="K28" s="33"/>
      <c r="L28" s="33"/>
      <c r="M28" s="261"/>
    </row>
    <row r="29" spans="1:13" ht="12.75">
      <c r="A29" s="63"/>
      <c r="B29" s="33"/>
      <c r="C29" s="33"/>
      <c r="D29" s="33"/>
      <c r="E29" s="33"/>
      <c r="F29" s="33"/>
      <c r="G29" s="33"/>
      <c r="H29" s="33"/>
      <c r="I29" s="70"/>
      <c r="J29" s="33"/>
      <c r="K29" s="33"/>
      <c r="L29" s="33"/>
      <c r="M29" s="261"/>
    </row>
    <row r="30" spans="1:13" ht="12.75">
      <c r="A30" s="63"/>
      <c r="B30" s="33"/>
      <c r="C30" s="33"/>
      <c r="D30" s="33"/>
      <c r="E30" s="33"/>
      <c r="F30" s="33"/>
      <c r="G30" s="33"/>
      <c r="H30" s="33"/>
      <c r="I30" s="62"/>
      <c r="J30" s="33"/>
      <c r="K30" s="33"/>
      <c r="L30" s="33"/>
      <c r="M30" s="261"/>
    </row>
    <row r="31" spans="1:13" ht="12.75">
      <c r="A31" s="63"/>
      <c r="B31" s="33"/>
      <c r="C31" s="33"/>
      <c r="D31" s="33"/>
      <c r="E31" s="33"/>
      <c r="F31" s="33"/>
      <c r="G31" s="33"/>
      <c r="H31" s="33"/>
      <c r="I31" s="62"/>
      <c r="J31" s="33"/>
      <c r="K31" s="33"/>
      <c r="L31" s="33"/>
      <c r="M31" s="261"/>
    </row>
    <row r="32" spans="1:13" ht="13.5" thickBot="1">
      <c r="A32" s="104"/>
      <c r="B32" s="32"/>
      <c r="C32" s="32"/>
      <c r="D32" s="32"/>
      <c r="E32" s="32"/>
      <c r="F32" s="32"/>
      <c r="G32" s="32"/>
      <c r="H32" s="32"/>
      <c r="I32" s="68"/>
      <c r="J32" s="262"/>
      <c r="K32" s="262"/>
      <c r="L32" s="262"/>
      <c r="M32" s="263"/>
    </row>
    <row r="33" spans="1:13" ht="12.75">
      <c r="A33" s="33"/>
      <c r="B33" s="33"/>
      <c r="C33" s="33"/>
      <c r="D33" s="33"/>
      <c r="E33" s="33"/>
      <c r="F33" s="33"/>
      <c r="G33" s="33"/>
      <c r="H33" s="33"/>
      <c r="I33" s="33"/>
      <c r="J33" s="33"/>
      <c r="K33" s="33"/>
      <c r="L33" s="33"/>
      <c r="M33" s="33"/>
    </row>
    <row r="34" spans="1:13" ht="12.75">
      <c r="A34" s="33"/>
      <c r="B34" s="33"/>
      <c r="C34" s="33"/>
      <c r="D34" s="33"/>
      <c r="E34" s="33"/>
      <c r="F34" s="33"/>
      <c r="G34" s="33"/>
      <c r="H34" s="33"/>
      <c r="I34" s="33"/>
      <c r="J34" s="33"/>
      <c r="K34" s="33"/>
      <c r="L34" s="33"/>
      <c r="M34" s="33"/>
    </row>
    <row r="35" spans="1:13" ht="12.75">
      <c r="A35" s="33"/>
      <c r="B35" s="33"/>
      <c r="C35" s="33"/>
      <c r="D35" s="33"/>
      <c r="E35" s="33"/>
      <c r="F35" s="33"/>
      <c r="G35" s="33"/>
      <c r="H35" s="33"/>
      <c r="I35" s="33"/>
      <c r="J35" s="33"/>
      <c r="K35" s="33"/>
      <c r="L35" s="33"/>
      <c r="M35" s="33"/>
    </row>
    <row r="36" spans="1:13" ht="12.75">
      <c r="A36" s="33"/>
      <c r="B36" s="33"/>
      <c r="C36" s="33"/>
      <c r="D36" s="33"/>
      <c r="E36" s="33"/>
      <c r="F36" s="33"/>
      <c r="G36" s="33"/>
      <c r="H36" s="33"/>
      <c r="I36" s="33"/>
      <c r="J36" s="33"/>
      <c r="K36" s="33"/>
      <c r="L36" s="33"/>
      <c r="M36" s="33"/>
    </row>
    <row r="37" spans="1:13" ht="12.75">
      <c r="A37" s="33"/>
      <c r="B37" s="33"/>
      <c r="C37" s="33"/>
      <c r="D37" s="33"/>
      <c r="E37" s="33"/>
      <c r="F37" s="33"/>
      <c r="G37" s="33"/>
      <c r="H37" s="33"/>
      <c r="I37" s="33"/>
      <c r="J37" s="33"/>
      <c r="K37" s="33"/>
      <c r="L37" s="33"/>
      <c r="M37" s="33"/>
    </row>
    <row r="38" spans="1:13" ht="12.75">
      <c r="A38" s="33"/>
      <c r="B38" s="33"/>
      <c r="C38" s="33"/>
      <c r="D38" s="33"/>
      <c r="E38" s="33"/>
      <c r="F38" s="33"/>
      <c r="G38" s="33"/>
      <c r="H38" s="33"/>
      <c r="I38" s="33"/>
      <c r="J38" s="33"/>
      <c r="K38" s="33"/>
      <c r="L38" s="33"/>
      <c r="M38" s="33"/>
    </row>
    <row r="39" spans="1:13" ht="12.75">
      <c r="A39" s="33"/>
      <c r="B39" s="33"/>
      <c r="C39" s="33"/>
      <c r="D39" s="33"/>
      <c r="E39" s="33"/>
      <c r="F39" s="33"/>
      <c r="G39" s="33"/>
      <c r="H39" s="33"/>
      <c r="I39" s="33"/>
      <c r="J39" s="33"/>
      <c r="K39" s="33"/>
      <c r="L39" s="33"/>
      <c r="M39" s="33"/>
    </row>
    <row r="40" spans="1:13" ht="12.75">
      <c r="A40" s="33"/>
      <c r="B40" s="33"/>
      <c r="C40" s="33"/>
      <c r="D40" s="33"/>
      <c r="E40" s="33"/>
      <c r="F40" s="33"/>
      <c r="G40" s="33"/>
      <c r="H40" s="33"/>
      <c r="I40" s="33"/>
      <c r="J40" s="33"/>
      <c r="K40" s="33"/>
      <c r="L40" s="33"/>
      <c r="M40" s="33"/>
    </row>
    <row r="41" spans="1:13" ht="12.75">
      <c r="A41" s="33"/>
      <c r="B41" s="33"/>
      <c r="C41" s="33"/>
      <c r="D41" s="33"/>
      <c r="E41" s="33"/>
      <c r="F41" s="33"/>
      <c r="G41" s="33"/>
      <c r="H41" s="33"/>
      <c r="I41" s="33"/>
      <c r="J41" s="33"/>
      <c r="K41" s="33"/>
      <c r="L41" s="33"/>
      <c r="M41" s="33"/>
    </row>
    <row r="42" spans="1:13" ht="12.75">
      <c r="A42" s="33"/>
      <c r="B42" s="33"/>
      <c r="C42" s="33"/>
      <c r="D42" s="33"/>
      <c r="E42" s="33"/>
      <c r="F42" s="33"/>
      <c r="G42" s="33"/>
      <c r="H42" s="33"/>
      <c r="I42" s="33"/>
      <c r="J42" s="33"/>
      <c r="K42" s="33"/>
      <c r="L42" s="33"/>
      <c r="M42" s="33"/>
    </row>
    <row r="43" spans="1:13" ht="12.75">
      <c r="A43" s="33"/>
      <c r="B43" s="33"/>
      <c r="C43" s="33"/>
      <c r="D43" s="33"/>
      <c r="E43" s="33"/>
      <c r="F43" s="33"/>
      <c r="G43" s="33"/>
      <c r="H43" s="33"/>
      <c r="I43" s="33"/>
      <c r="J43" s="33"/>
      <c r="K43" s="33"/>
      <c r="L43" s="33"/>
      <c r="M43" s="33"/>
    </row>
    <row r="44" spans="1:13" ht="12.75">
      <c r="A44" s="33"/>
      <c r="B44" s="33"/>
      <c r="C44" s="33"/>
      <c r="D44" s="33"/>
      <c r="E44" s="33"/>
      <c r="F44" s="33"/>
      <c r="G44" s="33"/>
      <c r="H44" s="33"/>
      <c r="I44" s="33"/>
      <c r="J44" s="33"/>
      <c r="K44" s="33"/>
      <c r="L44" s="33"/>
      <c r="M44" s="33"/>
    </row>
    <row r="45" spans="1:13" ht="12.75">
      <c r="A45" s="33"/>
      <c r="B45" s="33"/>
      <c r="C45" s="33"/>
      <c r="D45" s="33"/>
      <c r="E45" s="33"/>
      <c r="F45" s="33"/>
      <c r="G45" s="33"/>
      <c r="H45" s="33"/>
      <c r="I45" s="33"/>
      <c r="J45" s="33"/>
      <c r="K45" s="33"/>
      <c r="L45" s="33"/>
      <c r="M45" s="33"/>
    </row>
    <row r="46" spans="1:13" ht="12.75">
      <c r="A46" s="33"/>
      <c r="B46" s="33"/>
      <c r="C46" s="33"/>
      <c r="D46" s="33"/>
      <c r="E46" s="33"/>
      <c r="F46" s="33"/>
      <c r="G46" s="33"/>
      <c r="H46" s="33"/>
      <c r="I46" s="33"/>
      <c r="J46" s="33"/>
      <c r="K46" s="33"/>
      <c r="L46" s="33"/>
      <c r="M46" s="33"/>
    </row>
    <row r="47" spans="1:13" ht="12.75">
      <c r="A47" s="33"/>
      <c r="B47" s="33"/>
      <c r="C47" s="33"/>
      <c r="D47" s="33"/>
      <c r="E47" s="33"/>
      <c r="F47" s="33"/>
      <c r="G47" s="33"/>
      <c r="H47" s="33"/>
      <c r="I47" s="33"/>
      <c r="J47" s="33"/>
      <c r="K47" s="33"/>
      <c r="L47" s="33"/>
      <c r="M47" s="33"/>
    </row>
    <row r="48" spans="1:13" ht="12.75">
      <c r="A48" s="33"/>
      <c r="B48" s="33"/>
      <c r="C48" s="33"/>
      <c r="D48" s="33"/>
      <c r="E48" s="33"/>
      <c r="F48" s="33"/>
      <c r="G48" s="33"/>
      <c r="H48" s="33"/>
      <c r="I48" s="33"/>
      <c r="J48" s="33"/>
      <c r="K48" s="33"/>
      <c r="L48" s="33"/>
      <c r="M48" s="33"/>
    </row>
    <row r="49" spans="1:13" ht="12.75">
      <c r="A49" s="33"/>
      <c r="B49" s="33"/>
      <c r="C49" s="33"/>
      <c r="D49" s="33"/>
      <c r="E49" s="33"/>
      <c r="F49" s="33"/>
      <c r="G49" s="33"/>
      <c r="H49" s="33"/>
      <c r="I49" s="33"/>
      <c r="J49" s="33"/>
      <c r="K49" s="33"/>
      <c r="L49" s="33"/>
      <c r="M49" s="33"/>
    </row>
    <row r="50" spans="1:13" ht="12.75">
      <c r="A50" s="33"/>
      <c r="B50" s="33"/>
      <c r="C50" s="33"/>
      <c r="D50" s="33"/>
      <c r="E50" s="33"/>
      <c r="F50" s="33"/>
      <c r="G50" s="33"/>
      <c r="H50" s="33"/>
      <c r="I50" s="33"/>
      <c r="J50" s="33"/>
      <c r="K50" s="33"/>
      <c r="L50" s="33"/>
      <c r="M50" s="33"/>
    </row>
    <row r="51" spans="1:13" ht="12.75">
      <c r="A51" s="33"/>
      <c r="B51" s="33"/>
      <c r="C51" s="33"/>
      <c r="D51" s="33"/>
      <c r="E51" s="33"/>
      <c r="F51" s="33"/>
      <c r="G51" s="33"/>
      <c r="H51" s="33"/>
      <c r="I51" s="33"/>
      <c r="J51" s="33"/>
      <c r="K51" s="33"/>
      <c r="L51" s="33"/>
      <c r="M51" s="33"/>
    </row>
    <row r="52" spans="1:13" ht="12.75">
      <c r="A52" s="33"/>
      <c r="B52" s="33"/>
      <c r="C52" s="33"/>
      <c r="D52" s="33"/>
      <c r="E52" s="33"/>
      <c r="F52" s="33"/>
      <c r="G52" s="33"/>
      <c r="H52" s="33"/>
      <c r="I52" s="33"/>
      <c r="J52" s="33"/>
      <c r="K52" s="33"/>
      <c r="L52" s="33"/>
      <c r="M52" s="33"/>
    </row>
    <row r="53" spans="1:13" ht="12.75">
      <c r="A53" s="33"/>
      <c r="B53" s="33"/>
      <c r="C53" s="33"/>
      <c r="D53" s="33"/>
      <c r="E53" s="33"/>
      <c r="F53" s="33"/>
      <c r="G53" s="33"/>
      <c r="H53" s="33"/>
      <c r="I53" s="33"/>
      <c r="J53" s="33"/>
      <c r="K53" s="33"/>
      <c r="L53" s="33"/>
      <c r="M53" s="33"/>
    </row>
    <row r="54" spans="1:13" ht="12.75">
      <c r="A54" s="33"/>
      <c r="B54" s="33"/>
      <c r="C54" s="33"/>
      <c r="D54" s="33"/>
      <c r="E54" s="33"/>
      <c r="F54" s="33"/>
      <c r="G54" s="33"/>
      <c r="H54" s="33"/>
      <c r="I54" s="33"/>
      <c r="J54" s="33"/>
      <c r="K54" s="33"/>
      <c r="L54" s="33"/>
      <c r="M54" s="33"/>
    </row>
    <row r="55" spans="1:13" ht="12.75">
      <c r="A55" s="33"/>
      <c r="B55" s="33"/>
      <c r="C55" s="33"/>
      <c r="D55" s="33"/>
      <c r="E55" s="33"/>
      <c r="F55" s="33"/>
      <c r="G55" s="33"/>
      <c r="H55" s="33"/>
      <c r="I55" s="33"/>
      <c r="J55" s="33"/>
      <c r="K55" s="33"/>
      <c r="L55" s="33"/>
      <c r="M55" s="33"/>
    </row>
    <row r="56" spans="1:13" ht="12.75">
      <c r="A56" s="33"/>
      <c r="B56" s="33"/>
      <c r="C56" s="33"/>
      <c r="D56" s="33"/>
      <c r="E56" s="33"/>
      <c r="F56" s="33"/>
      <c r="G56" s="33"/>
      <c r="H56" s="33"/>
      <c r="I56" s="33"/>
      <c r="J56" s="33"/>
      <c r="K56" s="33"/>
      <c r="L56" s="33"/>
      <c r="M56" s="33"/>
    </row>
    <row r="57" spans="1:13" ht="12.75">
      <c r="A57" s="33"/>
      <c r="B57" s="33"/>
      <c r="C57" s="33"/>
      <c r="D57" s="33"/>
      <c r="E57" s="33"/>
      <c r="F57" s="33"/>
      <c r="G57" s="33"/>
      <c r="H57" s="33"/>
      <c r="I57" s="33"/>
      <c r="J57" s="33"/>
      <c r="K57" s="33"/>
      <c r="L57" s="33"/>
      <c r="M57" s="33"/>
    </row>
    <row r="58" spans="1:13" ht="12.75">
      <c r="A58" s="33"/>
      <c r="B58" s="33"/>
      <c r="C58" s="33"/>
      <c r="D58" s="33"/>
      <c r="E58" s="33"/>
      <c r="F58" s="33"/>
      <c r="G58" s="33"/>
      <c r="H58" s="33"/>
      <c r="I58" s="33"/>
      <c r="J58" s="33"/>
      <c r="K58" s="33"/>
      <c r="L58" s="33"/>
      <c r="M58" s="33"/>
    </row>
    <row r="59" spans="1:13" ht="12.75">
      <c r="A59" s="33"/>
      <c r="B59" s="33"/>
      <c r="C59" s="33"/>
      <c r="D59" s="33"/>
      <c r="E59" s="33"/>
      <c r="F59" s="33"/>
      <c r="G59" s="33"/>
      <c r="H59" s="33"/>
      <c r="I59" s="33"/>
      <c r="J59" s="33"/>
      <c r="K59" s="33"/>
      <c r="L59" s="33"/>
      <c r="M59" s="33"/>
    </row>
    <row r="60" spans="1:13" ht="12.75">
      <c r="A60" s="33"/>
      <c r="B60" s="33"/>
      <c r="C60" s="33"/>
      <c r="D60" s="33"/>
      <c r="E60" s="33"/>
      <c r="F60" s="33"/>
      <c r="G60" s="33"/>
      <c r="H60" s="33"/>
      <c r="I60" s="33"/>
      <c r="J60" s="33"/>
      <c r="K60" s="33"/>
      <c r="L60" s="33"/>
      <c r="M60" s="33"/>
    </row>
    <row r="61" spans="1:13" ht="12.75">
      <c r="A61" s="33"/>
      <c r="B61" s="33"/>
      <c r="C61" s="33"/>
      <c r="D61" s="33"/>
      <c r="E61" s="33"/>
      <c r="F61" s="33"/>
      <c r="G61" s="33"/>
      <c r="H61" s="33"/>
      <c r="I61" s="33"/>
      <c r="J61" s="33"/>
      <c r="K61" s="33"/>
      <c r="L61" s="33"/>
      <c r="M61" s="33"/>
    </row>
    <row r="62" spans="1:13" ht="12.75">
      <c r="A62" s="33"/>
      <c r="B62" s="33"/>
      <c r="C62" s="33"/>
      <c r="D62" s="33"/>
      <c r="E62" s="33"/>
      <c r="F62" s="33"/>
      <c r="G62" s="33"/>
      <c r="H62" s="33"/>
      <c r="I62" s="33"/>
      <c r="J62" s="33"/>
      <c r="K62" s="33"/>
      <c r="L62" s="33"/>
      <c r="M62" s="33"/>
    </row>
    <row r="63" spans="1:13" ht="12.75">
      <c r="A63" s="33"/>
      <c r="B63" s="33"/>
      <c r="C63" s="33"/>
      <c r="D63" s="33"/>
      <c r="E63" s="33"/>
      <c r="F63" s="33"/>
      <c r="G63" s="33"/>
      <c r="H63" s="33"/>
      <c r="I63" s="33"/>
      <c r="J63" s="33"/>
      <c r="K63" s="33"/>
      <c r="L63" s="33"/>
      <c r="M63" s="33"/>
    </row>
    <row r="64" spans="1:13" ht="12.75">
      <c r="A64" s="33"/>
      <c r="B64" s="33"/>
      <c r="C64" s="33"/>
      <c r="D64" s="33"/>
      <c r="E64" s="33"/>
      <c r="F64" s="33"/>
      <c r="G64" s="33"/>
      <c r="H64" s="33"/>
      <c r="I64" s="33"/>
      <c r="J64" s="33"/>
      <c r="K64" s="33"/>
      <c r="L64" s="33"/>
      <c r="M64" s="33"/>
    </row>
    <row r="65" spans="1:13" ht="12.75">
      <c r="A65" s="33"/>
      <c r="B65" s="33"/>
      <c r="C65" s="33"/>
      <c r="D65" s="33"/>
      <c r="E65" s="33"/>
      <c r="F65" s="33"/>
      <c r="G65" s="33"/>
      <c r="H65" s="33"/>
      <c r="I65" s="33"/>
      <c r="J65" s="33"/>
      <c r="K65" s="33"/>
      <c r="L65" s="33"/>
      <c r="M65" s="33"/>
    </row>
    <row r="66" spans="1:13" ht="12.75">
      <c r="A66" s="33"/>
      <c r="B66" s="33"/>
      <c r="C66" s="33"/>
      <c r="D66" s="33"/>
      <c r="E66" s="33"/>
      <c r="F66" s="33"/>
      <c r="G66" s="33"/>
      <c r="H66" s="33"/>
      <c r="I66" s="33"/>
      <c r="J66" s="33"/>
      <c r="K66" s="33"/>
      <c r="L66" s="33"/>
      <c r="M66" s="33"/>
    </row>
    <row r="67" spans="1:13" ht="12.75">
      <c r="A67" s="33"/>
      <c r="B67" s="33"/>
      <c r="C67" s="33"/>
      <c r="D67" s="33"/>
      <c r="E67" s="33"/>
      <c r="F67" s="33"/>
      <c r="G67" s="33"/>
      <c r="H67" s="33"/>
      <c r="I67" s="33"/>
      <c r="J67" s="33"/>
      <c r="K67" s="33"/>
      <c r="L67" s="33"/>
      <c r="M67" s="33"/>
    </row>
    <row r="68" spans="1:13" ht="12.75">
      <c r="A68" s="33"/>
      <c r="B68" s="33"/>
      <c r="C68" s="33"/>
      <c r="D68" s="33"/>
      <c r="E68" s="33"/>
      <c r="F68" s="33"/>
      <c r="G68" s="33"/>
      <c r="H68" s="33"/>
      <c r="I68" s="33"/>
      <c r="J68" s="33"/>
      <c r="K68" s="33"/>
      <c r="L68" s="33"/>
      <c r="M68" s="33"/>
    </row>
    <row r="69" spans="1:13" ht="12.75">
      <c r="A69" s="33"/>
      <c r="B69" s="33"/>
      <c r="C69" s="33"/>
      <c r="D69" s="33"/>
      <c r="E69" s="33"/>
      <c r="F69" s="33"/>
      <c r="G69" s="33"/>
      <c r="H69" s="33"/>
      <c r="I69" s="33"/>
      <c r="J69" s="33"/>
      <c r="K69" s="33"/>
      <c r="L69" s="33"/>
      <c r="M69" s="33"/>
    </row>
  </sheetData>
  <printOptions/>
  <pageMargins left="0.76" right="0.75" top="1" bottom="1" header="0.73"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8.xml><?xml version="1.0" encoding="utf-8"?>
<worksheet xmlns="http://schemas.openxmlformats.org/spreadsheetml/2006/main" xmlns:r="http://schemas.openxmlformats.org/officeDocument/2006/relationships">
  <sheetPr codeName="Sheet4"/>
  <dimension ref="A1:M27"/>
  <sheetViews>
    <sheetView workbookViewId="0" topLeftCell="A10">
      <selection activeCell="I12" sqref="I12"/>
    </sheetView>
  </sheetViews>
  <sheetFormatPr defaultColWidth="9.140625" defaultRowHeight="12.75"/>
  <cols>
    <col min="1" max="1" width="4.7109375" style="15" customWidth="1"/>
    <col min="2" max="2" width="9.140625" style="15" customWidth="1"/>
    <col min="3" max="3" width="16.7109375" style="15" customWidth="1"/>
    <col min="4" max="4" width="10.28125" style="15" customWidth="1"/>
    <col min="5" max="5" width="4.140625" style="15" customWidth="1"/>
    <col min="6" max="6" width="4.8515625" style="15" customWidth="1"/>
    <col min="7" max="7" width="11.7109375" style="15" customWidth="1"/>
    <col min="8" max="8" width="16.57421875" style="15" customWidth="1"/>
    <col min="9" max="9" width="11.140625" style="15" customWidth="1"/>
    <col min="10" max="16384" width="9.140625" style="15" customWidth="1"/>
  </cols>
  <sheetData>
    <row r="1" spans="1:10" ht="15.75">
      <c r="A1" s="418" t="str">
        <f>'B Balance sheet'!A1</f>
        <v>Speedy B's LLC - NEW</v>
      </c>
      <c r="B1" s="418"/>
      <c r="C1" s="418"/>
      <c r="D1" s="418"/>
      <c r="E1" s="418"/>
      <c r="F1" s="418"/>
      <c r="G1" s="418"/>
      <c r="H1" s="418"/>
      <c r="I1" s="418"/>
      <c r="J1" s="418"/>
    </row>
    <row r="2" spans="1:10" ht="15.75">
      <c r="A2" s="418" t="s">
        <v>0</v>
      </c>
      <c r="B2" s="418"/>
      <c r="C2" s="418"/>
      <c r="D2" s="418"/>
      <c r="E2" s="418"/>
      <c r="F2" s="418"/>
      <c r="G2" s="418"/>
      <c r="H2" s="418"/>
      <c r="I2" s="418"/>
      <c r="J2" s="418"/>
    </row>
    <row r="3" spans="1:10" ht="15.75">
      <c r="A3" s="418" t="str">
        <f>'1st year Income stmt'!A3:N3</f>
        <v>For Year Ending</v>
      </c>
      <c r="B3" s="418"/>
      <c r="C3" s="418"/>
      <c r="D3" s="418"/>
      <c r="E3" s="418"/>
      <c r="F3" s="418"/>
      <c r="G3" s="418"/>
      <c r="H3" s="418"/>
      <c r="I3" s="418"/>
      <c r="J3" s="418"/>
    </row>
    <row r="4" spans="1:10" ht="15.75">
      <c r="A4" s="419">
        <f>+'1st year Income stmt'!A4:N4</f>
        <v>39325</v>
      </c>
      <c r="B4" s="420"/>
      <c r="C4" s="420"/>
      <c r="D4" s="420"/>
      <c r="E4" s="420"/>
      <c r="F4" s="420"/>
      <c r="G4" s="420"/>
      <c r="H4" s="420"/>
      <c r="I4" s="420"/>
      <c r="J4" s="420"/>
    </row>
    <row r="5" spans="1:10" ht="12.75">
      <c r="A5" s="16"/>
      <c r="B5" s="17"/>
      <c r="C5" s="17"/>
      <c r="D5" s="17"/>
      <c r="E5" s="17"/>
      <c r="F5" s="17"/>
      <c r="G5" s="17"/>
      <c r="H5" s="17"/>
      <c r="I5" s="17"/>
      <c r="J5" s="18"/>
    </row>
    <row r="6" spans="1:10" ht="12.75">
      <c r="A6" s="19" t="s">
        <v>1</v>
      </c>
      <c r="B6" s="20"/>
      <c r="C6" s="20"/>
      <c r="D6" s="20"/>
      <c r="E6" s="20"/>
      <c r="F6" s="20" t="str">
        <f>'B Balance sheet'!E7</f>
        <v>LIABILITIES</v>
      </c>
      <c r="G6" s="21"/>
      <c r="H6" s="21"/>
      <c r="I6" s="21"/>
      <c r="J6" s="22"/>
    </row>
    <row r="7" spans="1:10" ht="12.75">
      <c r="A7" s="23" t="s">
        <v>3</v>
      </c>
      <c r="B7" s="21"/>
      <c r="C7" s="21"/>
      <c r="D7" s="24"/>
      <c r="E7" s="21"/>
      <c r="F7" s="21" t="s">
        <v>4</v>
      </c>
      <c r="G7" s="21"/>
      <c r="H7" s="21"/>
      <c r="I7" s="21"/>
      <c r="J7" s="22"/>
    </row>
    <row r="8" spans="1:10" ht="12.75">
      <c r="A8" s="23"/>
      <c r="B8" s="21" t="str">
        <f>'B Balance sheet'!B9</f>
        <v>Cash</v>
      </c>
      <c r="C8" s="21"/>
      <c r="D8" s="406">
        <f>'1st year Cash Flow'!M39</f>
        <v>37253.600000000006</v>
      </c>
      <c r="E8" s="406"/>
      <c r="F8" s="406"/>
      <c r="G8" s="406" t="s">
        <v>116</v>
      </c>
      <c r="H8" s="406"/>
      <c r="I8" s="406">
        <f>SUM('Pmt Schedule'!E22:E33)</f>
        <v>8664</v>
      </c>
      <c r="J8" s="22"/>
    </row>
    <row r="9" spans="1:10" ht="12.75">
      <c r="A9" s="23"/>
      <c r="B9" s="21" t="str">
        <f>'B Balance sheet'!B10</f>
        <v>Inventory</v>
      </c>
      <c r="C9" s="21"/>
      <c r="D9" s="406">
        <f>+'B Balance sheet'!C10+'1st year Cash Flow'!N31</f>
        <v>4500</v>
      </c>
      <c r="E9" s="406"/>
      <c r="F9" s="406"/>
      <c r="G9" s="406" t="str">
        <f>+'B Balance sheet'!F10</f>
        <v>Trade Payable</v>
      </c>
      <c r="H9" s="406"/>
      <c r="I9" s="392">
        <f>+'B Balance sheet'!H10-'1st year Cash Flow'!N23+'1st year Cash Flow'!N20</f>
        <v>0</v>
      </c>
      <c r="J9" s="22"/>
    </row>
    <row r="10" spans="1:10" ht="12.75">
      <c r="A10" s="23"/>
      <c r="B10" s="21" t="str">
        <f>'B Balance sheet'!B11</f>
        <v>Account Receivable</v>
      </c>
      <c r="C10" s="21"/>
      <c r="D10" s="406">
        <f>+'1st year Cash Flow'!N8-'1st year Cash Flow'!N11</f>
        <v>0</v>
      </c>
      <c r="E10" s="406"/>
      <c r="F10" s="406"/>
      <c r="G10" s="406" t="str">
        <f>+'B Balance sheet'!F11</f>
        <v>Accrued Salary</v>
      </c>
      <c r="H10" s="406"/>
      <c r="I10" s="406">
        <v>0</v>
      </c>
      <c r="J10" s="22"/>
    </row>
    <row r="11" spans="1:10" ht="12.75">
      <c r="A11" s="23"/>
      <c r="B11" s="21" t="s">
        <v>115</v>
      </c>
      <c r="C11" s="21"/>
      <c r="D11" s="406">
        <f>+I26-D24</f>
        <v>0</v>
      </c>
      <c r="E11" s="406"/>
      <c r="F11" s="406"/>
      <c r="G11" s="406" t="str">
        <f>+'B Balance sheet'!F12</f>
        <v>Taxes Payable</v>
      </c>
      <c r="H11" s="406"/>
      <c r="I11" s="406">
        <v>0</v>
      </c>
      <c r="J11" s="22"/>
    </row>
    <row r="12" spans="1:11" ht="12.75">
      <c r="A12" s="23"/>
      <c r="B12" s="21" t="str">
        <f>'B Balance sheet'!B12</f>
        <v>Office Supplies</v>
      </c>
      <c r="C12" s="21"/>
      <c r="D12" s="406">
        <f>'B Balance sheet'!C12</f>
        <v>0</v>
      </c>
      <c r="E12" s="406"/>
      <c r="F12" s="406"/>
      <c r="G12" s="406" t="str">
        <f>+'B Balance sheet'!F13</f>
        <v>Other</v>
      </c>
      <c r="H12" s="406"/>
      <c r="I12" s="406">
        <f>+'B Balance sheet'!H13</f>
        <v>0</v>
      </c>
      <c r="J12" s="22"/>
      <c r="K12" s="25"/>
    </row>
    <row r="13" spans="1:10" ht="12.75">
      <c r="A13" s="23"/>
      <c r="B13" s="21" t="str">
        <f>'B Balance sheet'!B13</f>
        <v>Prepaid Expenses / Deposits</v>
      </c>
      <c r="C13" s="21"/>
      <c r="D13" s="407">
        <f>'B Balance sheet'!C13</f>
        <v>0</v>
      </c>
      <c r="E13" s="406"/>
      <c r="F13" s="406"/>
      <c r="G13" s="406"/>
      <c r="H13" s="406"/>
      <c r="I13" s="407"/>
      <c r="J13" s="22"/>
    </row>
    <row r="14" spans="1:10" ht="12.75">
      <c r="A14" s="23" t="s">
        <v>14</v>
      </c>
      <c r="B14" s="21"/>
      <c r="C14" s="21"/>
      <c r="D14" s="406">
        <f>SUM(D8:D13)</f>
        <v>41753.600000000006</v>
      </c>
      <c r="E14" s="406"/>
      <c r="F14" s="406" t="s">
        <v>15</v>
      </c>
      <c r="G14" s="406"/>
      <c r="H14" s="406"/>
      <c r="I14" s="408">
        <f>SUM(I8:I12)</f>
        <v>8664</v>
      </c>
      <c r="J14" s="22"/>
    </row>
    <row r="15" spans="1:10" ht="12.75">
      <c r="A15" s="23"/>
      <c r="B15" s="21"/>
      <c r="C15" s="21"/>
      <c r="D15" s="406"/>
      <c r="E15" s="406"/>
      <c r="F15" s="406"/>
      <c r="G15" s="406"/>
      <c r="H15" s="406"/>
      <c r="I15" s="406"/>
      <c r="J15" s="22"/>
    </row>
    <row r="16" spans="1:10" ht="12.75">
      <c r="A16" s="23" t="s">
        <v>16</v>
      </c>
      <c r="B16" s="21"/>
      <c r="C16" s="21"/>
      <c r="D16" s="406"/>
      <c r="E16" s="406"/>
      <c r="F16" s="406" t="s">
        <v>17</v>
      </c>
      <c r="G16" s="406"/>
      <c r="H16" s="406"/>
      <c r="I16" s="406"/>
      <c r="J16" s="22"/>
    </row>
    <row r="17" spans="1:10" ht="12.75">
      <c r="A17" s="23"/>
      <c r="B17" s="21" t="str">
        <f>+'B Balance sheet'!B17</f>
        <v>Land</v>
      </c>
      <c r="C17" s="21"/>
      <c r="D17" s="406">
        <f>'B Balance sheet'!C17+'1st year Cash Flow'!Q16</f>
        <v>0</v>
      </c>
      <c r="E17" s="406"/>
      <c r="F17" s="406"/>
      <c r="G17" s="406" t="s">
        <v>117</v>
      </c>
      <c r="H17" s="406"/>
      <c r="I17" s="406">
        <f>+'Pmt Schedule'!F21-'1st Year BS'!I8</f>
        <v>55336</v>
      </c>
      <c r="J17" s="22"/>
    </row>
    <row r="18" spans="1:13" ht="12.75">
      <c r="A18" s="23"/>
      <c r="B18" s="21" t="str">
        <f>+'B Balance sheet'!B18</f>
        <v>Buildings</v>
      </c>
      <c r="C18" s="21"/>
      <c r="D18" s="406">
        <f>'B Balance sheet'!C18+'1st year Cash Flow'!Q17</f>
        <v>0</v>
      </c>
      <c r="E18" s="406"/>
      <c r="F18" s="406"/>
      <c r="G18" s="406" t="str">
        <f>+'B Balance sheet'!F18</f>
        <v>Other</v>
      </c>
      <c r="H18" s="406"/>
      <c r="I18" s="406">
        <v>0</v>
      </c>
      <c r="J18" s="22"/>
      <c r="M18" s="53"/>
    </row>
    <row r="19" spans="1:10" ht="12.75">
      <c r="A19" s="23"/>
      <c r="B19" s="21" t="str">
        <f>+'B Balance sheet'!B19</f>
        <v>Equipment</v>
      </c>
      <c r="C19" s="21"/>
      <c r="D19" s="406">
        <f>'B Balance sheet'!C19+'1st year Cash Flow'!Q18</f>
        <v>30000</v>
      </c>
      <c r="E19" s="406"/>
      <c r="F19" s="406" t="s">
        <v>19</v>
      </c>
      <c r="G19" s="406"/>
      <c r="H19" s="406"/>
      <c r="I19" s="407">
        <f>SUM(I17:I18)</f>
        <v>55336</v>
      </c>
      <c r="J19" s="22"/>
    </row>
    <row r="20" spans="1:13" ht="12.75">
      <c r="A20" s="23"/>
      <c r="B20" s="21" t="str">
        <f>+'B Balance sheet'!B20</f>
        <v>Other Fixed Assets</v>
      </c>
      <c r="C20" s="21"/>
      <c r="D20" s="406">
        <f>'B Balance sheet'!C20+'1st year Cash Flow'!Q19</f>
        <v>25500</v>
      </c>
      <c r="E20" s="406"/>
      <c r="F20" s="406"/>
      <c r="G20" s="406"/>
      <c r="H20" s="406"/>
      <c r="I20" s="406"/>
      <c r="J20" s="22"/>
      <c r="M20" s="53"/>
    </row>
    <row r="21" spans="1:10" ht="12.75">
      <c r="A21" s="23"/>
      <c r="B21" s="24" t="str">
        <f>+'B Balance sheet'!B21</f>
        <v>Accum Depreciation</v>
      </c>
      <c r="C21" s="21"/>
      <c r="D21" s="407">
        <f>-('B Balance sheet'!C21+'1st year Income stmt'!N18)</f>
        <v>-11100</v>
      </c>
      <c r="E21" s="406"/>
      <c r="F21" s="409" t="s">
        <v>20</v>
      </c>
      <c r="G21" s="406"/>
      <c r="H21" s="406"/>
      <c r="I21" s="406">
        <f>I14+I19</f>
        <v>64000</v>
      </c>
      <c r="J21" s="22"/>
    </row>
    <row r="22" spans="1:10" ht="12.75">
      <c r="A22" s="23" t="s">
        <v>59</v>
      </c>
      <c r="B22" s="21"/>
      <c r="C22" s="21"/>
      <c r="D22" s="406">
        <f>SUM(D17:D21)</f>
        <v>44400</v>
      </c>
      <c r="E22" s="406"/>
      <c r="F22" s="410"/>
      <c r="G22" s="410"/>
      <c r="H22" s="410"/>
      <c r="I22" s="410"/>
      <c r="J22" s="22"/>
    </row>
    <row r="23" spans="1:10" ht="12.75">
      <c r="A23" s="23"/>
      <c r="B23" s="21"/>
      <c r="C23" s="21"/>
      <c r="D23" s="406"/>
      <c r="E23" s="406"/>
      <c r="F23" s="411" t="s">
        <v>83</v>
      </c>
      <c r="G23" s="406"/>
      <c r="H23" s="412" t="s">
        <v>164</v>
      </c>
      <c r="I23" s="406">
        <f>-'1st year Cash Flow'!N32</f>
        <v>-12000</v>
      </c>
      <c r="J23" s="22"/>
    </row>
    <row r="24" spans="1:10" ht="12.75">
      <c r="A24" s="23"/>
      <c r="B24" s="21"/>
      <c r="C24" s="21"/>
      <c r="D24" s="413">
        <f>+D8+D9+D10+D12+D13+D22</f>
        <v>86153.6</v>
      </c>
      <c r="E24" s="406"/>
      <c r="F24" s="410"/>
      <c r="G24" s="406" t="s">
        <v>102</v>
      </c>
      <c r="H24" s="410"/>
      <c r="I24" s="407">
        <f>+'B Balance sheet'!H23+'1st year Income stmt'!N31</f>
        <v>34153.6</v>
      </c>
      <c r="J24" s="22"/>
    </row>
    <row r="25" spans="1:10" ht="12.75">
      <c r="A25" s="23"/>
      <c r="B25" s="21"/>
      <c r="C25" s="21"/>
      <c r="D25" s="406"/>
      <c r="E25" s="406"/>
      <c r="F25" s="409" t="s">
        <v>22</v>
      </c>
      <c r="G25" s="406"/>
      <c r="H25" s="406"/>
      <c r="I25" s="414">
        <f>+I24+I23</f>
        <v>22153.6</v>
      </c>
      <c r="J25" s="22"/>
    </row>
    <row r="26" spans="1:10" ht="13.5" thickBot="1">
      <c r="A26" s="19" t="s">
        <v>23</v>
      </c>
      <c r="B26" s="21"/>
      <c r="C26" s="21"/>
      <c r="D26" s="415">
        <f>D14+D22</f>
        <v>86153.6</v>
      </c>
      <c r="E26" s="406"/>
      <c r="F26" s="409" t="s">
        <v>24</v>
      </c>
      <c r="G26" s="406"/>
      <c r="H26" s="406"/>
      <c r="I26" s="415">
        <f>I21+I25</f>
        <v>86153.6</v>
      </c>
      <c r="J26" s="22"/>
    </row>
    <row r="27" spans="1:10" ht="13.5" thickTop="1">
      <c r="A27" s="27"/>
      <c r="B27" s="26"/>
      <c r="C27" s="26"/>
      <c r="D27" s="26"/>
      <c r="E27" s="26"/>
      <c r="F27" s="26"/>
      <c r="G27" s="26"/>
      <c r="H27" s="26"/>
      <c r="I27" s="26"/>
      <c r="J27" s="28"/>
    </row>
  </sheetData>
  <mergeCells count="4">
    <mergeCell ref="A1:J1"/>
    <mergeCell ref="A2:J2"/>
    <mergeCell ref="A3:J3"/>
    <mergeCell ref="A4:J4"/>
  </mergeCells>
  <printOptions verticalCentered="1"/>
  <pageMargins left="1.21" right="0.75" top="1"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I9" unlockedFormula="1"/>
  </ignoredErrors>
</worksheet>
</file>

<file path=xl/worksheets/sheet9.xml><?xml version="1.0" encoding="utf-8"?>
<worksheet xmlns="http://schemas.openxmlformats.org/spreadsheetml/2006/main" xmlns:r="http://schemas.openxmlformats.org/officeDocument/2006/relationships">
  <sheetPr codeName="Sheet5"/>
  <dimension ref="A1:L65"/>
  <sheetViews>
    <sheetView showGridLines="0" workbookViewId="0" topLeftCell="A1">
      <selection activeCell="I18" sqref="I18"/>
    </sheetView>
  </sheetViews>
  <sheetFormatPr defaultColWidth="9.140625" defaultRowHeight="12.75"/>
  <cols>
    <col min="1" max="1" width="23.57421875" style="60" customWidth="1"/>
    <col min="2" max="2" width="12.421875" style="33" customWidth="1"/>
    <col min="3" max="3" width="11.421875" style="33" customWidth="1"/>
    <col min="4" max="4" width="12.28125" style="33" customWidth="1"/>
    <col min="5" max="5" width="11.421875" style="33" customWidth="1"/>
    <col min="6" max="6" width="8.8515625" style="33" customWidth="1"/>
    <col min="7" max="16384" width="9.140625" style="33" customWidth="1"/>
  </cols>
  <sheetData>
    <row r="1" spans="1:6" s="59" customFormat="1" ht="15.75">
      <c r="A1" s="421" t="str">
        <f>'B Balance sheet'!A1</f>
        <v>Speedy B's LLC - NEW</v>
      </c>
      <c r="B1" s="422"/>
      <c r="C1" s="422"/>
      <c r="D1" s="422"/>
      <c r="E1" s="422"/>
      <c r="F1" s="423"/>
    </row>
    <row r="2" spans="1:6" ht="15.75">
      <c r="A2" s="424" t="s">
        <v>61</v>
      </c>
      <c r="B2" s="425"/>
      <c r="C2" s="425"/>
      <c r="D2" s="425"/>
      <c r="E2" s="425"/>
      <c r="F2" s="426"/>
    </row>
    <row r="3" spans="1:6" ht="15.75">
      <c r="A3" s="424" t="s">
        <v>145</v>
      </c>
      <c r="B3" s="425"/>
      <c r="C3" s="425"/>
      <c r="D3" s="425"/>
      <c r="E3" s="425"/>
      <c r="F3" s="426"/>
    </row>
    <row r="4" spans="1:6" ht="15.75">
      <c r="A4" s="427">
        <f>EOMONTH(+'1st year Income stmt'!A4,12)</f>
        <v>39691</v>
      </c>
      <c r="B4" s="428"/>
      <c r="C4" s="428"/>
      <c r="D4" s="428"/>
      <c r="E4" s="428"/>
      <c r="F4" s="429"/>
    </row>
    <row r="5" spans="1:6" ht="12.75">
      <c r="A5" s="140"/>
      <c r="B5" s="141"/>
      <c r="C5" s="142"/>
      <c r="D5" s="142"/>
      <c r="E5" s="142"/>
      <c r="F5" s="143"/>
    </row>
    <row r="6" spans="1:6" s="56" customFormat="1" ht="12.75">
      <c r="A6" s="64"/>
      <c r="B6" s="213" t="s">
        <v>62</v>
      </c>
      <c r="C6" s="213" t="s">
        <v>63</v>
      </c>
      <c r="D6" s="213" t="s">
        <v>64</v>
      </c>
      <c r="E6" s="213" t="s">
        <v>65</v>
      </c>
      <c r="F6" s="214" t="s">
        <v>25</v>
      </c>
    </row>
    <row r="7" spans="1:6" ht="12.75">
      <c r="A7" s="63" t="s">
        <v>26</v>
      </c>
      <c r="B7" s="363">
        <f>ROUND((SUM('1st year Income stmt'!B6:D6))*(1+$B$35),0)</f>
        <v>56439</v>
      </c>
      <c r="C7" s="363">
        <f>INT((SUM('1st year Income stmt'!E6:G6))*(1+$B$35))</f>
        <v>56438</v>
      </c>
      <c r="D7" s="363">
        <f>INT((SUM('1st year Income stmt'!H6:J6))*(1+$B$35))</f>
        <v>56438</v>
      </c>
      <c r="E7" s="363">
        <f>INT((SUM('1st year Income stmt'!K6:M6))*(1+$B$35))</f>
        <v>56438</v>
      </c>
      <c r="F7" s="356">
        <f>SUM(B7:E7)</f>
        <v>225753</v>
      </c>
    </row>
    <row r="8" spans="1:6" ht="12.75">
      <c r="A8" s="63" t="s">
        <v>27</v>
      </c>
      <c r="B8" s="363">
        <f>ROUND(B7*$B$39,0)</f>
        <v>0</v>
      </c>
      <c r="C8" s="363">
        <f>ROUND(C7*$B$39,0)</f>
        <v>0</v>
      </c>
      <c r="D8" s="363">
        <f>ROUND(D7*$B$39,0)</f>
        <v>0</v>
      </c>
      <c r="E8" s="363">
        <f>ROUND(E7*$B$39,0)</f>
        <v>0</v>
      </c>
      <c r="F8" s="356">
        <f>SUM(B8:E8)</f>
        <v>0</v>
      </c>
    </row>
    <row r="9" spans="1:6" ht="12.75">
      <c r="A9" s="63" t="s">
        <v>28</v>
      </c>
      <c r="B9" s="363">
        <f>B7-B8</f>
        <v>56439</v>
      </c>
      <c r="C9" s="363">
        <f>C7-C8</f>
        <v>56438</v>
      </c>
      <c r="D9" s="363">
        <f>D7-D8</f>
        <v>56438</v>
      </c>
      <c r="E9" s="363">
        <f>E7-E8</f>
        <v>56438</v>
      </c>
      <c r="F9" s="356">
        <f>SUM(B9:E9)</f>
        <v>225753</v>
      </c>
    </row>
    <row r="10" spans="1:6" ht="12.75">
      <c r="A10" s="63" t="s">
        <v>29</v>
      </c>
      <c r="B10" s="363">
        <f>ROUND(B7*$B$37,0)</f>
        <v>19754</v>
      </c>
      <c r="C10" s="363">
        <f>ROUND(C7*$B$37,0)</f>
        <v>19753</v>
      </c>
      <c r="D10" s="363">
        <f>ROUND(D7*$B$37,0)</f>
        <v>19753</v>
      </c>
      <c r="E10" s="363">
        <f>ROUND(E7*$B$37,0)</f>
        <v>19753</v>
      </c>
      <c r="F10" s="356">
        <f>SUM(B10:E10)</f>
        <v>79013</v>
      </c>
    </row>
    <row r="11" spans="1:6" ht="12.75">
      <c r="A11" s="66" t="s">
        <v>30</v>
      </c>
      <c r="B11" s="363">
        <f>B9-B10</f>
        <v>36685</v>
      </c>
      <c r="C11" s="363">
        <f>C9-C10</f>
        <v>36685</v>
      </c>
      <c r="D11" s="363">
        <f>D9-D10</f>
        <v>36685</v>
      </c>
      <c r="E11" s="363">
        <f>E9-E10</f>
        <v>36685</v>
      </c>
      <c r="F11" s="356">
        <f>SUM(B11:E11)</f>
        <v>146740</v>
      </c>
    </row>
    <row r="12" spans="1:6" ht="12.75">
      <c r="A12" s="63"/>
      <c r="B12" s="363"/>
      <c r="C12" s="363"/>
      <c r="D12" s="363"/>
      <c r="E12" s="363"/>
      <c r="F12" s="356"/>
    </row>
    <row r="13" spans="1:6" ht="12.75">
      <c r="A13" s="63" t="str">
        <f>'1st year Income stmt'!A12</f>
        <v>G &amp; A Expenses</v>
      </c>
      <c r="B13" s="363"/>
      <c r="C13" s="363"/>
      <c r="D13" s="363"/>
      <c r="E13" s="363"/>
      <c r="F13" s="356"/>
    </row>
    <row r="14" spans="1:6" ht="12.75">
      <c r="A14" s="63" t="str">
        <f>'1st year Income stmt'!A13</f>
        <v>Salary Expense</v>
      </c>
      <c r="B14" s="363">
        <f>ROUND(((SUM('1st year Income stmt'!B13:D13))*(1+$B$36)),0)</f>
        <v>13800</v>
      </c>
      <c r="C14" s="363">
        <f>ROUND(((SUM('1st year Income stmt'!E13:G13))*(1+$B$36)),0)</f>
        <v>13800</v>
      </c>
      <c r="D14" s="363">
        <f>ROUND(((SUM('1st year Income stmt'!H13:J13))*(1+$B$36)),0)</f>
        <v>13800</v>
      </c>
      <c r="E14" s="363">
        <f>ROUND(((SUM('1st year Income stmt'!K13:M13))*(1+$B$36)),0)</f>
        <v>13800</v>
      </c>
      <c r="F14" s="356">
        <f aca="true" t="shared" si="0" ref="F14:F26">SUM(B14:E14)</f>
        <v>55200</v>
      </c>
    </row>
    <row r="15" spans="1:12" ht="12.75">
      <c r="A15" s="63" t="str">
        <f>'1st year Income stmt'!A14</f>
        <v>Rent</v>
      </c>
      <c r="B15" s="363">
        <f>ROUND(((SUM('1st year Income stmt'!B14:D14))*(1+$B$36)),0)</f>
        <v>2009</v>
      </c>
      <c r="C15" s="363">
        <f>ROUND(((SUM('1st year Income stmt'!E14:G14))*(1+$B$36)),0)</f>
        <v>2009</v>
      </c>
      <c r="D15" s="363">
        <f>ROUND(((SUM('1st year Income stmt'!H14:J14))*(1+$B$36)),0)</f>
        <v>2009</v>
      </c>
      <c r="E15" s="363">
        <f>ROUND(((SUM('1st year Income stmt'!K14:M14))*(1+$B$36)),0)</f>
        <v>2009</v>
      </c>
      <c r="F15" s="356">
        <f t="shared" si="0"/>
        <v>8036</v>
      </c>
      <c r="I15" s="57"/>
      <c r="J15" s="57"/>
      <c r="K15" s="57"/>
      <c r="L15" s="57"/>
    </row>
    <row r="16" spans="1:6" ht="12.75">
      <c r="A16" s="63" t="str">
        <f>'1st year Income stmt'!A15</f>
        <v>Payroll taxes</v>
      </c>
      <c r="B16" s="363">
        <f>ROUND((B14*$E$39),0)</f>
        <v>1608</v>
      </c>
      <c r="C16" s="363">
        <f>ROUND((C14*$E$39),0)</f>
        <v>1608</v>
      </c>
      <c r="D16" s="363">
        <f>ROUND((D14*$E$39),0)</f>
        <v>1608</v>
      </c>
      <c r="E16" s="363">
        <f>ROUND((E14*$E$39),0)</f>
        <v>1608</v>
      </c>
      <c r="F16" s="356">
        <f t="shared" si="0"/>
        <v>6432</v>
      </c>
    </row>
    <row r="17" spans="1:6" ht="12.75">
      <c r="A17" s="63" t="str">
        <f>'1st year Income stmt'!A16</f>
        <v>Travel &amp; Enter.</v>
      </c>
      <c r="B17" s="363">
        <f>ROUND(((SUM('1st year Income stmt'!B16:D16))*(1+$B$36)),0)</f>
        <v>408</v>
      </c>
      <c r="C17" s="363">
        <f>ROUND(((SUM('1st year Income stmt'!E16:G16))*(1+$B$36)),0)</f>
        <v>408</v>
      </c>
      <c r="D17" s="363">
        <f>ROUND(((SUM('1st year Income stmt'!H16:J16))*(1+$B$36)),0)</f>
        <v>408</v>
      </c>
      <c r="E17" s="363">
        <f>ROUND(((SUM('1st year Income stmt'!K16:M16))*(1+$B$36)),0)</f>
        <v>408</v>
      </c>
      <c r="F17" s="356">
        <f t="shared" si="0"/>
        <v>1632</v>
      </c>
    </row>
    <row r="18" spans="1:6" ht="12.75">
      <c r="A18" s="63" t="str">
        <f>'1st year Income stmt'!A17</f>
        <v>Prof. &amp; Acctg</v>
      </c>
      <c r="B18" s="363">
        <f>ROUND(((SUM('1st year Income stmt'!B17:D17))*(1+$B$36)),0)</f>
        <v>77</v>
      </c>
      <c r="C18" s="363">
        <f>ROUND(((SUM('1st year Income stmt'!E17:G17))*(1+$B$36)),0)</f>
        <v>77</v>
      </c>
      <c r="D18" s="363">
        <f>ROUND(((SUM('1st year Income stmt'!H17:J17))*(1+$B$36)),0)</f>
        <v>77</v>
      </c>
      <c r="E18" s="363">
        <f>ROUND(((SUM('1st year Income stmt'!K17:M17))*(1+$B$36)),0)</f>
        <v>77</v>
      </c>
      <c r="F18" s="356">
        <f t="shared" si="0"/>
        <v>308</v>
      </c>
    </row>
    <row r="19" spans="1:6" ht="12.75">
      <c r="A19" s="63" t="str">
        <f>'1st year Income stmt'!A18</f>
        <v>Depreciation</v>
      </c>
      <c r="B19" s="363">
        <f>+((+'1st Year BS'!$D$18+'1st Year BS'!$D$19+'1st Year BS'!$D$20)/'B Balance sheet'!$C$29)/4</f>
        <v>2775</v>
      </c>
      <c r="C19" s="363">
        <f>+((+'1st Year BS'!$D$18+'1st Year BS'!$D$19+'1st Year BS'!$D$20)/'B Balance sheet'!$C$29)/4</f>
        <v>2775</v>
      </c>
      <c r="D19" s="363">
        <f>+((+'1st Year BS'!$D$18+'1st Year BS'!$D$19+'1st Year BS'!$D$20)/'B Balance sheet'!$C$29)/4</f>
        <v>2775</v>
      </c>
      <c r="E19" s="363">
        <f>+((+'1st Year BS'!$D$18+'1st Year BS'!$D$19+'1st Year BS'!$D$20)/'B Balance sheet'!$C$29)/4</f>
        <v>2775</v>
      </c>
      <c r="F19" s="356">
        <f t="shared" si="0"/>
        <v>11100</v>
      </c>
    </row>
    <row r="20" spans="1:6" ht="12.75">
      <c r="A20" s="63" t="str">
        <f>'1st year Income stmt'!A19</f>
        <v>Insurance</v>
      </c>
      <c r="B20" s="363">
        <f>ROUND(((SUM('1st year Income stmt'!B19:D19))*(1+$B$36)),0)</f>
        <v>1106</v>
      </c>
      <c r="C20" s="363">
        <f>ROUND(((SUM('1st year Income stmt'!E19:G19))*(1+$B$36)),0)</f>
        <v>1106</v>
      </c>
      <c r="D20" s="363">
        <f>ROUND(((SUM('1st year Income stmt'!H19:J19))*(1+$B$36)),0)</f>
        <v>1106</v>
      </c>
      <c r="E20" s="363">
        <f>ROUND(((SUM('1st year Income stmt'!K19:M19))*(1+$B$36)),0)</f>
        <v>1106</v>
      </c>
      <c r="F20" s="356">
        <f t="shared" si="0"/>
        <v>4424</v>
      </c>
    </row>
    <row r="21" spans="1:11" ht="12.75">
      <c r="A21" s="63" t="str">
        <f>'1st year Income stmt'!A20</f>
        <v>Interest</v>
      </c>
      <c r="B21" s="405">
        <f>+'B Balance sheet'!$L$14/4+SUM('Pmt Schedule'!D22:D24)</f>
        <v>1268</v>
      </c>
      <c r="C21" s="405">
        <f>+'B Balance sheet'!$L$14/4+SUM('Pmt Schedule'!D25:D27)</f>
        <v>1225</v>
      </c>
      <c r="D21" s="405">
        <f>+'B Balance sheet'!$L$14/4+SUM('Pmt Schedule'!D28:D30)</f>
        <v>1182</v>
      </c>
      <c r="E21" s="405">
        <f>+'B Balance sheet'!$L$14/4+SUM('Pmt Schedule'!D31:D33)</f>
        <v>1137</v>
      </c>
      <c r="F21" s="356">
        <f t="shared" si="0"/>
        <v>4812</v>
      </c>
      <c r="K21" s="79"/>
    </row>
    <row r="22" spans="1:6" ht="12.75">
      <c r="A22" s="63" t="str">
        <f>'1st year Income stmt'!A21</f>
        <v>Rep &amp; Maint.</v>
      </c>
      <c r="B22" s="363">
        <f>ROUND(((SUM('1st year Income stmt'!B21:D21))*(1+$B$36)),0)</f>
        <v>309</v>
      </c>
      <c r="C22" s="363">
        <f>ROUND(((SUM('1st year Income stmt'!E21:G21))*(1+$B$36)),0)</f>
        <v>309</v>
      </c>
      <c r="D22" s="363">
        <f>ROUND(((SUM('1st year Income stmt'!H21:J21))*(1+$B$36)),0)</f>
        <v>309</v>
      </c>
      <c r="E22" s="363">
        <f>ROUND(((SUM('1st year Income stmt'!K21:M21))*(1+$B$36)),0)</f>
        <v>309</v>
      </c>
      <c r="F22" s="356">
        <f t="shared" si="0"/>
        <v>1236</v>
      </c>
    </row>
    <row r="23" spans="1:6" ht="12.75">
      <c r="A23" s="63" t="str">
        <f>'1st year Income stmt'!A22</f>
        <v>Util. &amp; Phone</v>
      </c>
      <c r="B23" s="363">
        <f>ROUND(((SUM('1st year Income stmt'!B22:D22))*(1+$B$36)),0)</f>
        <v>2472</v>
      </c>
      <c r="C23" s="363">
        <f>ROUND(((SUM('1st year Income stmt'!E22:G22))*(1+$B$36)),0)</f>
        <v>2472</v>
      </c>
      <c r="D23" s="363">
        <f>ROUND(((SUM('1st year Income stmt'!H22:J22))*(1+$B$36)),0)</f>
        <v>2472</v>
      </c>
      <c r="E23" s="363">
        <f>ROUND(((SUM('1st year Income stmt'!K22:M22))*(1+$B$36)),0)</f>
        <v>2472</v>
      </c>
      <c r="F23" s="356">
        <f t="shared" si="0"/>
        <v>9888</v>
      </c>
    </row>
    <row r="24" spans="1:6" ht="12.75">
      <c r="A24" s="63" t="str">
        <f>'1st year Income stmt'!A23</f>
        <v>Office Supplies</v>
      </c>
      <c r="B24" s="363">
        <f>ROUND(((SUM('1st year Income stmt'!B23:D23))*(1+$B$36)),0)</f>
        <v>464</v>
      </c>
      <c r="C24" s="363">
        <f>ROUND(((SUM('1st year Income stmt'!E23:G23))*(1+$B$36)),0)</f>
        <v>464</v>
      </c>
      <c r="D24" s="363">
        <f>ROUND(((SUM('1st year Income stmt'!H23:J23))*(1+$B$36)),0)</f>
        <v>464</v>
      </c>
      <c r="E24" s="363">
        <f>ROUND(((SUM('1st year Income stmt'!K23:M23))*(1+$B$36)),0)</f>
        <v>464</v>
      </c>
      <c r="F24" s="356">
        <f t="shared" si="0"/>
        <v>1856</v>
      </c>
    </row>
    <row r="25" spans="1:6" ht="12.75">
      <c r="A25" s="63" t="str">
        <f>'1st year Income stmt'!A24</f>
        <v>Other Taxes</v>
      </c>
      <c r="B25" s="363">
        <f>ROUND(((SUM('1st year Income stmt'!B24:D24))*(1+$B$36)),0)</f>
        <v>0</v>
      </c>
      <c r="C25" s="363">
        <f>ROUND(((SUM('1st year Income stmt'!E24:G24))*(1+$B$36)),0)</f>
        <v>0</v>
      </c>
      <c r="D25" s="363">
        <f>ROUND(((SUM('1st year Income stmt'!H24:J24))*(1+$B$36)),0)</f>
        <v>0</v>
      </c>
      <c r="E25" s="363">
        <f>ROUND(((SUM('1st year Income stmt'!K24:M24))*(1+$B$36)),0)</f>
        <v>0</v>
      </c>
      <c r="F25" s="356">
        <f t="shared" si="0"/>
        <v>0</v>
      </c>
    </row>
    <row r="26" spans="1:6" ht="12.75">
      <c r="A26" s="63" t="str">
        <f>'1st year Income stmt'!A25</f>
        <v>Marketing</v>
      </c>
      <c r="B26" s="363">
        <f>ROUND(((B7/3)*2+C7/3)*$B$38,0)</f>
        <v>282</v>
      </c>
      <c r="C26" s="363">
        <f>ROUND(((C7/3)*2+D7/3)*$B$38,0)</f>
        <v>282</v>
      </c>
      <c r="D26" s="363">
        <f>ROUND(((D7/3)*2+E7/3)*$B$38,0)</f>
        <v>282</v>
      </c>
      <c r="E26" s="363">
        <f>ROUND(((E7/3)*2+'3rd Year IS'!B7/3)*'2nd Year IS'!$B$38,0)</f>
        <v>287</v>
      </c>
      <c r="F26" s="356">
        <f t="shared" si="0"/>
        <v>1133</v>
      </c>
    </row>
    <row r="27" spans="1:6" ht="12.75">
      <c r="A27" s="63" t="s">
        <v>326</v>
      </c>
      <c r="B27" s="363">
        <f>ROUND(((SUM('1st year Income stmt'!B26:D26))*(1+$B$36)),0)</f>
        <v>773</v>
      </c>
      <c r="C27" s="363">
        <f>ROUND(((SUM('1st year Income stmt'!E26:G26))*(1+$B$36)),0)</f>
        <v>773</v>
      </c>
      <c r="D27" s="363">
        <f>ROUND(((SUM('1st year Income stmt'!H26:J26))*(1+$B$36)),0)</f>
        <v>773</v>
      </c>
      <c r="E27" s="363">
        <f>ROUND(((SUM('1st year Income stmt'!K26:M26))*(1+$B$36)),0)</f>
        <v>773</v>
      </c>
      <c r="F27" s="356">
        <f>SUM(B27:E27)</f>
        <v>3092</v>
      </c>
    </row>
    <row r="28" spans="1:6" ht="12.75">
      <c r="A28" s="66" t="str">
        <f>'1st year Income stmt'!A28</f>
        <v>Total G&amp;A Exp.</v>
      </c>
      <c r="B28" s="363">
        <f>INT(SUM(B14:B27))</f>
        <v>27351</v>
      </c>
      <c r="C28" s="363">
        <f>INT(SUM(C14:C27))</f>
        <v>27308</v>
      </c>
      <c r="D28" s="363">
        <f>INT(SUM(D14:D27))</f>
        <v>27265</v>
      </c>
      <c r="E28" s="363">
        <f>INT(SUM(E14:E27))</f>
        <v>27225</v>
      </c>
      <c r="F28" s="356">
        <f>INT(SUM(F14:F27))</f>
        <v>109149</v>
      </c>
    </row>
    <row r="29" spans="1:6" ht="12.75">
      <c r="A29" s="63"/>
      <c r="B29" s="363"/>
      <c r="C29" s="363"/>
      <c r="D29" s="363"/>
      <c r="E29" s="363"/>
      <c r="F29" s="356"/>
    </row>
    <row r="30" spans="1:6" ht="12.75">
      <c r="A30" s="67" t="str">
        <f>'1st year Income stmt'!A29</f>
        <v>Net Income BT</v>
      </c>
      <c r="B30" s="383">
        <f>B11-B28</f>
        <v>9334</v>
      </c>
      <c r="C30" s="383">
        <f>C11-C28</f>
        <v>9377</v>
      </c>
      <c r="D30" s="383">
        <f>D11-D28</f>
        <v>9420</v>
      </c>
      <c r="E30" s="383">
        <f>E11-E28</f>
        <v>9460</v>
      </c>
      <c r="F30" s="357">
        <f>SUM(B30:E30)</f>
        <v>37591</v>
      </c>
    </row>
    <row r="31" spans="1:6" ht="12.75">
      <c r="A31" s="201" t="s">
        <v>195</v>
      </c>
      <c r="B31" s="389">
        <f>+B30*'2nd Year IS'!$B$40</f>
        <v>1866.8000000000002</v>
      </c>
      <c r="C31" s="389">
        <f>+C30*'2nd Year IS'!$B$40</f>
        <v>1875.4</v>
      </c>
      <c r="D31" s="389">
        <f>+D30*'2nd Year IS'!$B$40</f>
        <v>1884</v>
      </c>
      <c r="E31" s="389">
        <f>+E30*'2nd Year IS'!$B$40</f>
        <v>1892</v>
      </c>
      <c r="F31" s="357">
        <f>SUM(B31:E31)</f>
        <v>7518.200000000001</v>
      </c>
    </row>
    <row r="32" spans="1:6" ht="13.5" thickBot="1">
      <c r="A32" s="202" t="s">
        <v>196</v>
      </c>
      <c r="B32" s="390">
        <f>+B30-B31</f>
        <v>7467.2</v>
      </c>
      <c r="C32" s="390">
        <f>+C30-C31</f>
        <v>7501.6</v>
      </c>
      <c r="D32" s="390">
        <f>+D30-D31</f>
        <v>7536</v>
      </c>
      <c r="E32" s="390">
        <f>+E30-E31</f>
        <v>7568</v>
      </c>
      <c r="F32" s="391">
        <f>SUM(B32:E32)</f>
        <v>30072.8</v>
      </c>
    </row>
    <row r="33" ht="13.5" thickTop="1"/>
    <row r="34" spans="1:3" ht="12.75">
      <c r="A34" s="139" t="s">
        <v>109</v>
      </c>
      <c r="C34" s="33" t="s">
        <v>93</v>
      </c>
    </row>
    <row r="35" spans="1:5" ht="12.75">
      <c r="A35" s="60" t="s">
        <v>73</v>
      </c>
      <c r="B35" s="178">
        <v>0.05</v>
      </c>
      <c r="C35" s="33" t="s">
        <v>36</v>
      </c>
      <c r="E35" s="182">
        <v>0.0765</v>
      </c>
    </row>
    <row r="36" spans="1:5" ht="12.75">
      <c r="A36" s="60" t="s">
        <v>74</v>
      </c>
      <c r="B36" s="178">
        <v>0.03</v>
      </c>
      <c r="C36" s="33" t="s">
        <v>37</v>
      </c>
      <c r="E36" s="182">
        <v>0.01</v>
      </c>
    </row>
    <row r="37" spans="1:5" ht="12.75">
      <c r="A37" s="60" t="s">
        <v>33</v>
      </c>
      <c r="B37" s="179">
        <v>0.35</v>
      </c>
      <c r="C37" s="33" t="s">
        <v>69</v>
      </c>
      <c r="E37" s="182">
        <v>0.01</v>
      </c>
    </row>
    <row r="38" spans="1:5" ht="12.75">
      <c r="A38" s="60" t="s">
        <v>34</v>
      </c>
      <c r="B38" s="178">
        <v>0.005</v>
      </c>
      <c r="C38" s="33" t="s">
        <v>38</v>
      </c>
      <c r="E38" s="182">
        <v>0.02</v>
      </c>
    </row>
    <row r="39" spans="1:5" ht="12.75">
      <c r="A39" s="61" t="s">
        <v>40</v>
      </c>
      <c r="B39" s="180">
        <v>0</v>
      </c>
      <c r="C39" s="33" t="s">
        <v>39</v>
      </c>
      <c r="E39" s="182">
        <f>SUM(E35:E38)</f>
        <v>0.11649999999999999</v>
      </c>
    </row>
    <row r="40" spans="1:3" ht="12.75">
      <c r="A40" s="60" t="s">
        <v>195</v>
      </c>
      <c r="B40" s="203">
        <v>0.2</v>
      </c>
      <c r="C40" s="58"/>
    </row>
    <row r="45" spans="1:3" ht="12.75">
      <c r="A45" s="33"/>
      <c r="C45" s="58"/>
    </row>
    <row r="46" spans="1:3" ht="12.75">
      <c r="A46" s="33"/>
      <c r="C46" s="58"/>
    </row>
    <row r="65" spans="1:6" ht="12.75">
      <c r="A65"/>
      <c r="B65"/>
      <c r="C65"/>
      <c r="D65"/>
      <c r="E65"/>
      <c r="F65"/>
    </row>
  </sheetData>
  <mergeCells count="4">
    <mergeCell ref="A1:F1"/>
    <mergeCell ref="A2:F2"/>
    <mergeCell ref="A3:F3"/>
    <mergeCell ref="A4:F4"/>
  </mergeCells>
  <printOptions horizontalCentered="1"/>
  <pageMargins left="0.87" right="0.93" top="1.5" bottom="1.77"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7" formulaRange="1"/>
    <ignoredError sqref="B10:E10"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Engle</cp:lastModifiedBy>
  <cp:lastPrinted>2006-08-01T22:26:01Z</cp:lastPrinted>
  <dcterms:created xsi:type="dcterms:W3CDTF">1998-02-24T07:57:32Z</dcterms:created>
  <dcterms:modified xsi:type="dcterms:W3CDTF">2006-08-01T22:46:00Z</dcterms:modified>
  <cp:category/>
  <cp:version/>
  <cp:contentType/>
  <cp:contentStatus/>
</cp:coreProperties>
</file>